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lionelcanioni/Desktop/submission optica/opex/last version/correction las/"/>
    </mc:Choice>
  </mc:AlternateContent>
  <xr:revisionPtr revIDLastSave="0" documentId="8_{4726A434-2505-EA41-BD6B-0258782D9B10}" xr6:coauthVersionLast="36" xr6:coauthVersionMax="36" xr10:uidLastSave="{00000000-0000-0000-0000-000000000000}"/>
  <bookViews>
    <workbookView xWindow="4040" yWindow="980" windowWidth="22360" windowHeight="17040" xr2:uid="{9F852054-3958-8E46-BC3C-07DE7B24CBC3}"/>
  </bookViews>
  <sheets>
    <sheet name="Eye parameter" sheetId="1" r:id="rId1"/>
    <sheet name="Corneal Aberrations" sheetId="2" r:id="rId2"/>
    <sheet name="IOL Aberration" sheetId="3" r:id="rId3"/>
    <sheet name="Solution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D19" i="1" l="1"/>
  <c r="H11" i="3" l="1"/>
  <c r="C3" i="3"/>
  <c r="B3" i="3"/>
  <c r="A3" i="3"/>
  <c r="D26" i="1"/>
  <c r="F9" i="2" l="1"/>
  <c r="E9" i="2"/>
  <c r="D9" i="2"/>
  <c r="C9" i="2"/>
  <c r="B9" i="2"/>
  <c r="A9" i="2"/>
  <c r="J4" i="2"/>
  <c r="I4" i="2"/>
  <c r="H4" i="2" l="1"/>
  <c r="G4" i="2"/>
  <c r="F4" i="2"/>
  <c r="E4" i="2"/>
  <c r="D4" i="2"/>
  <c r="C4" i="2"/>
  <c r="B4" i="2" l="1"/>
  <c r="A4" i="2"/>
  <c r="F16" i="1" l="1"/>
  <c r="B22" i="1" l="1"/>
  <c r="B23" i="1"/>
  <c r="D22" i="1" l="1"/>
  <c r="D18" i="2" l="1"/>
  <c r="D19" i="2"/>
  <c r="B13" i="2"/>
  <c r="C14" i="1"/>
  <c r="B24" i="1"/>
  <c r="B14" i="2" s="1"/>
  <c r="F11" i="3"/>
  <c r="C19" i="2" l="1"/>
  <c r="C18" i="2"/>
  <c r="B18" i="2"/>
  <c r="F14" i="1"/>
  <c r="D25" i="1"/>
  <c r="B15" i="2" l="1"/>
  <c r="B26" i="1"/>
  <c r="D23" i="1"/>
  <c r="B19" i="2" l="1"/>
  <c r="B16" i="2" s="1"/>
  <c r="D16" i="2" s="1"/>
  <c r="E11" i="3"/>
  <c r="G11" i="3" s="1"/>
  <c r="A11" i="3"/>
  <c r="D11" i="3" s="1"/>
  <c r="A14" i="3"/>
  <c r="D8" i="3" s="1"/>
  <c r="D24" i="1"/>
  <c r="D3" i="3"/>
  <c r="B11" i="3" l="1"/>
  <c r="C11" i="3" s="1"/>
  <c r="J11" i="3"/>
  <c r="A8" i="3" l="1"/>
  <c r="C8" i="3"/>
  <c r="I11" i="3"/>
  <c r="B8" i="3" s="1"/>
  <c r="B3" i="4" l="1"/>
  <c r="F19" i="1" l="1"/>
  <c r="B6" i="4"/>
  <c r="B14" i="1" s="1"/>
  <c r="B5" i="4"/>
  <c r="B12" i="1" s="1"/>
  <c r="B19" i="3"/>
  <c r="B4" i="4"/>
  <c r="B18" i="3" l="1"/>
  <c r="B20" i="3" s="1"/>
  <c r="E12" i="1"/>
  <c r="E14" i="1" s="1"/>
  <c r="B21" i="3" l="1"/>
</calcChain>
</file>

<file path=xl/sharedStrings.xml><?xml version="1.0" encoding="utf-8"?>
<sst xmlns="http://schemas.openxmlformats.org/spreadsheetml/2006/main" count="122" uniqueCount="117">
  <si>
    <t xml:space="preserve">Radius (mm) </t>
  </si>
  <si>
    <t xml:space="preserve">Thickness (mm) </t>
  </si>
  <si>
    <t xml:space="preserve">Conic constant </t>
  </si>
  <si>
    <t xml:space="preserve">Anterior IOL </t>
  </si>
  <si>
    <t xml:space="preserve">Posterior IOL </t>
  </si>
  <si>
    <t xml:space="preserve">Vitreous </t>
  </si>
  <si>
    <t xml:space="preserve">- </t>
  </si>
  <si>
    <t xml:space="preserve">Surface </t>
  </si>
  <si>
    <t xml:space="preserve">R3 </t>
  </si>
  <si>
    <t xml:space="preserve">R4 </t>
  </si>
  <si>
    <t>Retina R5 =</t>
  </si>
  <si>
    <r>
      <t>h</t>
    </r>
    <r>
      <rPr>
        <sz val="6"/>
        <color theme="1"/>
        <rFont val="TimesNewRomanPSMT"/>
      </rPr>
      <t xml:space="preserve">2 </t>
    </r>
  </si>
  <si>
    <r>
      <t>h</t>
    </r>
    <r>
      <rPr>
        <sz val="6"/>
        <color theme="1"/>
        <rFont val="TimesNewRomanPSMT"/>
      </rPr>
      <t xml:space="preserve">3 </t>
    </r>
  </si>
  <si>
    <r>
      <t>Y</t>
    </r>
    <r>
      <rPr>
        <i/>
        <sz val="6"/>
        <color theme="1"/>
        <rFont val="TimesNewRomanPS"/>
      </rPr>
      <t xml:space="preserve">C </t>
    </r>
  </si>
  <si>
    <r>
      <t>u'</t>
    </r>
    <r>
      <rPr>
        <sz val="6"/>
        <color theme="1"/>
        <rFont val="TimesNewRomanPSMT"/>
      </rPr>
      <t xml:space="preserve">1 </t>
    </r>
    <r>
      <rPr>
        <sz val="10"/>
        <color theme="1"/>
        <rFont val="TimesNewRomanPSMT"/>
      </rPr>
      <t xml:space="preserve">= </t>
    </r>
    <r>
      <rPr>
        <i/>
        <sz val="10"/>
        <color theme="1"/>
        <rFont val="TimesNewRomanPS"/>
      </rPr>
      <t>u</t>
    </r>
    <r>
      <rPr>
        <sz val="6"/>
        <color theme="1"/>
        <rFont val="TimesNewRomanPSMT"/>
      </rPr>
      <t xml:space="preserve">2 </t>
    </r>
  </si>
  <si>
    <r>
      <t>u’</t>
    </r>
    <r>
      <rPr>
        <sz val="6"/>
        <color theme="1"/>
        <rFont val="TimesNewRomanPSMT"/>
      </rPr>
      <t xml:space="preserve">2 </t>
    </r>
  </si>
  <si>
    <t>Xc</t>
  </si>
  <si>
    <t xml:space="preserve">PC  Corneal power </t>
  </si>
  <si>
    <t>n @ λ = 0.55 μm</t>
  </si>
  <si>
    <t>-</t>
  </si>
  <si>
    <r>
      <t>p</t>
    </r>
    <r>
      <rPr>
        <sz val="6"/>
        <color theme="1"/>
        <rFont val="TimesNewRomanPSMT"/>
      </rPr>
      <t>1</t>
    </r>
    <r>
      <rPr>
        <i/>
        <sz val="6"/>
        <color theme="1"/>
        <rFont val="TimesNewRomanPS"/>
      </rPr>
      <t xml:space="preserve">C </t>
    </r>
  </si>
  <si>
    <r>
      <t>p</t>
    </r>
    <r>
      <rPr>
        <sz val="6"/>
        <color theme="1"/>
        <rFont val="TimesNewRomanPSMT"/>
      </rPr>
      <t>2</t>
    </r>
    <r>
      <rPr>
        <i/>
        <sz val="6"/>
        <color theme="1"/>
        <rFont val="TimesNewRomanPS"/>
      </rPr>
      <t xml:space="preserve">C </t>
    </r>
  </si>
  <si>
    <r>
      <t>p</t>
    </r>
    <r>
      <rPr>
        <sz val="6"/>
        <color theme="1"/>
        <rFont val="TimesNewRomanPSMT"/>
      </rPr>
      <t>3</t>
    </r>
    <r>
      <rPr>
        <i/>
        <sz val="6"/>
        <color theme="1"/>
        <rFont val="TimesNewRomanPS"/>
      </rPr>
      <t xml:space="preserve">C </t>
    </r>
  </si>
  <si>
    <r>
      <t>p</t>
    </r>
    <r>
      <rPr>
        <sz val="6"/>
        <color theme="1"/>
        <rFont val="TimesNewRomanPSMT"/>
      </rPr>
      <t>4</t>
    </r>
    <r>
      <rPr>
        <i/>
        <sz val="6"/>
        <color theme="1"/>
        <rFont val="TimesNewRomanPS"/>
      </rPr>
      <t xml:space="preserve">C </t>
    </r>
  </si>
  <si>
    <r>
      <t>p</t>
    </r>
    <r>
      <rPr>
        <sz val="6"/>
        <color theme="1"/>
        <rFont val="TimesNewRomanPSMT"/>
      </rPr>
      <t>5</t>
    </r>
    <r>
      <rPr>
        <i/>
        <sz val="6"/>
        <color theme="1"/>
        <rFont val="TimesNewRomanPS"/>
      </rPr>
      <t xml:space="preserve">C </t>
    </r>
  </si>
  <si>
    <r>
      <t>p</t>
    </r>
    <r>
      <rPr>
        <sz val="6"/>
        <color theme="1"/>
        <rFont val="TimesNewRomanPSMT"/>
      </rPr>
      <t>6</t>
    </r>
    <r>
      <rPr>
        <i/>
        <sz val="6"/>
        <color theme="1"/>
        <rFont val="TimesNewRomanPS"/>
      </rPr>
      <t xml:space="preserve">C </t>
    </r>
  </si>
  <si>
    <t xml:space="preserve">Numerical values for SA’s corneal coefficients </t>
  </si>
  <si>
    <t xml:space="preserve">Numerical values for coma’s corneal coefficients </t>
  </si>
  <si>
    <t>conicity</t>
  </si>
  <si>
    <t>SA</t>
  </si>
  <si>
    <t xml:space="preserve">Numerical values for SA’s IOL coefficients </t>
  </si>
  <si>
    <t xml:space="preserve">Numerical values for coma’s IOL coefficients </t>
  </si>
  <si>
    <r>
      <t>b1</t>
    </r>
    <r>
      <rPr>
        <i/>
        <sz val="6"/>
        <color theme="1"/>
        <rFont val="TimesNewRomanPS"/>
      </rPr>
      <t xml:space="preserve"> </t>
    </r>
  </si>
  <si>
    <t>b2</t>
  </si>
  <si>
    <t>b3</t>
  </si>
  <si>
    <t>b4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</si>
  <si>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</si>
  <si>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</si>
  <si>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</si>
  <si>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</si>
  <si>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</si>
  <si>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</si>
  <si>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</si>
  <si>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</si>
  <si>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</si>
  <si>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</si>
  <si>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Numerical solution for IOL parmeters</t>
  </si>
  <si>
    <t xml:space="preserve">Anterior Cornea </t>
  </si>
  <si>
    <t>Posterior Cornea</t>
  </si>
  <si>
    <t>R3</t>
  </si>
  <si>
    <t>R4</t>
  </si>
  <si>
    <t>Prefactor</t>
  </si>
  <si>
    <r>
      <t>a</t>
    </r>
    <r>
      <rPr>
        <i/>
        <vertAlign val="subscript"/>
        <sz val="12"/>
        <color rgb="FF7F7F7F"/>
        <rFont val="Calibri (Body)"/>
      </rPr>
      <t>1C</t>
    </r>
    <r>
      <rPr>
        <i/>
        <sz val="12"/>
        <color rgb="FF7F7F7F"/>
        <rFont val="Calibri"/>
        <family val="2"/>
        <scheme val="minor"/>
      </rPr>
      <t xml:space="preserve"> </t>
    </r>
  </si>
  <si>
    <r>
      <t>a</t>
    </r>
    <r>
      <rPr>
        <i/>
        <vertAlign val="subscript"/>
        <sz val="12"/>
        <color rgb="FF7F7F7F"/>
        <rFont val="Calibri (Body)"/>
      </rPr>
      <t>2C</t>
    </r>
    <r>
      <rPr>
        <i/>
        <sz val="12"/>
        <color rgb="FF7F7F7F"/>
        <rFont val="Calibri"/>
        <family val="2"/>
        <scheme val="minor"/>
      </rPr>
      <t xml:space="preserve"> </t>
    </r>
  </si>
  <si>
    <r>
      <t>a</t>
    </r>
    <r>
      <rPr>
        <i/>
        <vertAlign val="subscript"/>
        <sz val="12"/>
        <color rgb="FF7F7F7F"/>
        <rFont val="Calibri (Body)"/>
      </rPr>
      <t>3C</t>
    </r>
    <r>
      <rPr>
        <i/>
        <sz val="12"/>
        <color rgb="FF7F7F7F"/>
        <rFont val="Calibri"/>
        <family val="2"/>
        <scheme val="minor"/>
      </rPr>
      <t xml:space="preserve"> </t>
    </r>
  </si>
  <si>
    <r>
      <t>a</t>
    </r>
    <r>
      <rPr>
        <i/>
        <vertAlign val="subscript"/>
        <sz val="12"/>
        <color rgb="FF7F7F7F"/>
        <rFont val="Calibri (Body)"/>
      </rPr>
      <t>4C</t>
    </r>
    <r>
      <rPr>
        <i/>
        <sz val="12"/>
        <color rgb="FF7F7F7F"/>
        <rFont val="Calibri"/>
        <family val="2"/>
        <scheme val="minor"/>
      </rPr>
      <t xml:space="preserve"> </t>
    </r>
  </si>
  <si>
    <r>
      <t>a</t>
    </r>
    <r>
      <rPr>
        <i/>
        <vertAlign val="subscript"/>
        <sz val="12"/>
        <color rgb="FF7F7F7F"/>
        <rFont val="Calibri (Body)"/>
      </rPr>
      <t>5C</t>
    </r>
    <r>
      <rPr>
        <i/>
        <sz val="12"/>
        <color rgb="FF7F7F7F"/>
        <rFont val="Calibri"/>
        <family val="2"/>
        <scheme val="minor"/>
      </rPr>
      <t xml:space="preserve"> </t>
    </r>
  </si>
  <si>
    <r>
      <t>a</t>
    </r>
    <r>
      <rPr>
        <i/>
        <vertAlign val="subscript"/>
        <sz val="12"/>
        <color rgb="FF7F7F7F"/>
        <rFont val="Calibri (Body)"/>
      </rPr>
      <t>6C</t>
    </r>
    <r>
      <rPr>
        <i/>
        <sz val="12"/>
        <color rgb="FF7F7F7F"/>
        <rFont val="Calibri"/>
        <family val="2"/>
        <scheme val="minor"/>
      </rPr>
      <t xml:space="preserve"> </t>
    </r>
  </si>
  <si>
    <r>
      <t>a</t>
    </r>
    <r>
      <rPr>
        <i/>
        <vertAlign val="subscript"/>
        <sz val="12"/>
        <color rgb="FF7F7F7F"/>
        <rFont val="Calibri (Body)"/>
      </rPr>
      <t>7C</t>
    </r>
    <r>
      <rPr>
        <i/>
        <sz val="12"/>
        <color rgb="FF7F7F7F"/>
        <rFont val="Calibri"/>
        <family val="2"/>
        <scheme val="minor"/>
      </rPr>
      <t xml:space="preserve"> </t>
    </r>
  </si>
  <si>
    <r>
      <t>a</t>
    </r>
    <r>
      <rPr>
        <i/>
        <vertAlign val="subscript"/>
        <sz val="12"/>
        <color rgb="FF7F7F7F"/>
        <rFont val="Calibri (Body)"/>
      </rPr>
      <t>8C</t>
    </r>
    <r>
      <rPr>
        <i/>
        <sz val="12"/>
        <color rgb="FF7F7F7F"/>
        <rFont val="Calibri"/>
        <family val="2"/>
        <scheme val="minor"/>
      </rPr>
      <t xml:space="preserve"> </t>
    </r>
  </si>
  <si>
    <r>
      <t>a</t>
    </r>
    <r>
      <rPr>
        <i/>
        <vertAlign val="subscript"/>
        <sz val="12"/>
        <color rgb="FF7F7F7F"/>
        <rFont val="Calibri (Body)"/>
      </rPr>
      <t>9C</t>
    </r>
    <r>
      <rPr>
        <i/>
        <sz val="12"/>
        <color rgb="FF7F7F7F"/>
        <rFont val="Calibri"/>
        <family val="2"/>
        <scheme val="minor"/>
      </rPr>
      <t xml:space="preserve"> </t>
    </r>
  </si>
  <si>
    <r>
      <t>a</t>
    </r>
    <r>
      <rPr>
        <i/>
        <vertAlign val="subscript"/>
        <sz val="12"/>
        <color rgb="FF7F7F7F"/>
        <rFont val="Calibri (Body)"/>
      </rPr>
      <t>10C</t>
    </r>
    <r>
      <rPr>
        <i/>
        <sz val="12"/>
        <color rgb="FF7F7F7F"/>
        <rFont val="Calibri"/>
        <family val="2"/>
        <scheme val="minor"/>
      </rPr>
      <t xml:space="preserve"> </t>
    </r>
  </si>
  <si>
    <r>
      <t>S</t>
    </r>
    <r>
      <rPr>
        <i/>
        <vertAlign val="subscript"/>
        <sz val="12"/>
        <color rgb="FF7F7F7F"/>
        <rFont val="Calibri (Body)"/>
      </rPr>
      <t>I</t>
    </r>
    <r>
      <rPr>
        <i/>
        <sz val="12"/>
        <color rgb="FF7F7F7F"/>
        <rFont val="Calibri"/>
        <family val="2"/>
        <scheme val="minor"/>
      </rPr>
      <t>C part</t>
    </r>
  </si>
  <si>
    <r>
      <t>S</t>
    </r>
    <r>
      <rPr>
        <i/>
        <vertAlign val="subscript"/>
        <sz val="12"/>
        <color rgb="FF7F7F7F"/>
        <rFont val="Calibri (Body)"/>
      </rPr>
      <t>II</t>
    </r>
    <r>
      <rPr>
        <i/>
        <sz val="12"/>
        <color rgb="FF7F7F7F"/>
        <rFont val="Calibri"/>
        <family val="2"/>
        <scheme val="minor"/>
      </rPr>
      <t>C part</t>
    </r>
  </si>
  <si>
    <r>
      <t>Anterior corneal focal length f</t>
    </r>
    <r>
      <rPr>
        <i/>
        <vertAlign val="subscript"/>
        <sz val="12"/>
        <color rgb="FF7F7F7F"/>
        <rFont val="Calibri (Body)"/>
      </rPr>
      <t>Canterior</t>
    </r>
    <r>
      <rPr>
        <i/>
        <sz val="12"/>
        <color rgb="FF7F7F7F"/>
        <rFont val="Calibri"/>
        <family val="2"/>
        <scheme val="minor"/>
      </rPr>
      <t xml:space="preserve">  </t>
    </r>
  </si>
  <si>
    <t xml:space="preserve">Lagrange invariant, H  </t>
  </si>
  <si>
    <t xml:space="preserve">Corneal power, PC  </t>
  </si>
  <si>
    <r>
      <t>h</t>
    </r>
    <r>
      <rPr>
        <i/>
        <vertAlign val="subscript"/>
        <sz val="12"/>
        <color rgb="FF7F7F7F"/>
        <rFont val="Calibri (Body)"/>
      </rPr>
      <t>mean</t>
    </r>
  </si>
  <si>
    <t xml:space="preserve">Vitrous chamber depth, e3 </t>
  </si>
  <si>
    <r>
      <t>n</t>
    </r>
    <r>
      <rPr>
        <i/>
        <vertAlign val="subscript"/>
        <sz val="12"/>
        <color rgb="FF7F7F7F"/>
        <rFont val="Calibri (Body)"/>
      </rPr>
      <t>IOL</t>
    </r>
    <r>
      <rPr>
        <i/>
        <sz val="12"/>
        <color rgb="FF7F7F7F"/>
        <rFont val="Calibri"/>
        <family val="2"/>
        <scheme val="minor"/>
      </rPr>
      <t xml:space="preserve"> </t>
    </r>
  </si>
  <si>
    <r>
      <t>4</t>
    </r>
    <r>
      <rPr>
        <vertAlign val="superscript"/>
        <sz val="14"/>
        <color theme="3"/>
        <rFont val="Calibri Light (Headings)"/>
      </rPr>
      <t>th</t>
    </r>
    <r>
      <rPr>
        <sz val="14"/>
        <color theme="3"/>
        <rFont val="Calibri Light"/>
        <family val="2"/>
        <scheme val="major"/>
      </rPr>
      <t xml:space="preserve"> order aspheric term </t>
    </r>
  </si>
  <si>
    <t>n2</t>
  </si>
  <si>
    <r>
      <t>Y</t>
    </r>
    <r>
      <rPr>
        <i/>
        <vertAlign val="subscript"/>
        <sz val="12"/>
        <color rgb="FF7F7F7F"/>
        <rFont val="Calibri (Body)"/>
      </rPr>
      <t>IOL</t>
    </r>
  </si>
  <si>
    <r>
      <t>S</t>
    </r>
    <r>
      <rPr>
        <b/>
        <i/>
        <vertAlign val="subscript"/>
        <sz val="12"/>
        <color rgb="FF7F7F7F"/>
        <rFont val="Calibri (Body)"/>
      </rPr>
      <t>I</t>
    </r>
    <r>
      <rPr>
        <b/>
        <i/>
        <sz val="12"/>
        <color rgb="FF7F7F7F"/>
        <rFont val="Calibri"/>
        <family val="2"/>
        <scheme val="minor"/>
      </rPr>
      <t>C</t>
    </r>
  </si>
  <si>
    <r>
      <t>S</t>
    </r>
    <r>
      <rPr>
        <b/>
        <i/>
        <vertAlign val="subscript"/>
        <sz val="12"/>
        <color rgb="FF7F7F7F"/>
        <rFont val="Calibri (Body)"/>
      </rPr>
      <t>II</t>
    </r>
    <r>
      <rPr>
        <b/>
        <i/>
        <sz val="12"/>
        <color rgb="FF7F7F7F"/>
        <rFont val="Calibri"/>
        <family val="2"/>
        <scheme val="minor"/>
      </rPr>
      <t xml:space="preserve">C </t>
    </r>
  </si>
  <si>
    <r>
      <t>Y</t>
    </r>
    <r>
      <rPr>
        <b/>
        <i/>
        <sz val="6"/>
        <color theme="1"/>
        <rFont val="TimesNewRomanPS"/>
      </rPr>
      <t xml:space="preserve">C </t>
    </r>
  </si>
  <si>
    <r>
      <t>(S</t>
    </r>
    <r>
      <rPr>
        <b/>
        <i/>
        <vertAlign val="subscript"/>
        <sz val="12"/>
        <color rgb="FF7F7F7F"/>
        <rFont val="Calibri (Body)"/>
      </rPr>
      <t>II</t>
    </r>
    <r>
      <rPr>
        <b/>
        <i/>
        <sz val="12"/>
        <color rgb="FF7F7F7F"/>
        <rFont val="Calibri"/>
        <family val="2"/>
        <scheme val="minor"/>
      </rPr>
      <t xml:space="preserve">C)* </t>
    </r>
  </si>
  <si>
    <t>Eye values and IOL’s parameters used in the simulation</t>
  </si>
  <si>
    <t>IOL’s parameters used in the simulation</t>
  </si>
  <si>
    <r>
      <t>X</t>
    </r>
    <r>
      <rPr>
        <i/>
        <vertAlign val="subscript"/>
        <sz val="12"/>
        <color rgb="FF7F7F7F"/>
        <rFont val="Calibri (Body)"/>
      </rPr>
      <t>IOL</t>
    </r>
  </si>
  <si>
    <r>
      <rPr>
        <b/>
        <sz val="14"/>
        <color theme="9" tint="-0.499984740745262"/>
        <rFont val="Symbol"/>
        <family val="1"/>
        <charset val="2"/>
      </rPr>
      <t>e</t>
    </r>
    <r>
      <rPr>
        <b/>
        <vertAlign val="subscript"/>
        <sz val="14"/>
        <color theme="9" tint="-0.499984740745262"/>
        <rFont val="TimesNewRomanPS"/>
      </rPr>
      <t>4</t>
    </r>
    <r>
      <rPr>
        <b/>
        <sz val="14"/>
        <color theme="9" tint="-0.499984740745262"/>
        <rFont val="TimesNewRomanPS"/>
      </rPr>
      <t xml:space="preserve"> </t>
    </r>
  </si>
  <si>
    <r>
      <rPr>
        <b/>
        <sz val="14"/>
        <color theme="9" tint="-0.499984740745262"/>
        <rFont val="Symbol"/>
        <family val="1"/>
        <charset val="2"/>
      </rPr>
      <t>e</t>
    </r>
    <r>
      <rPr>
        <b/>
        <vertAlign val="subscript"/>
        <sz val="14"/>
        <color theme="9" tint="-0.499984740745262"/>
        <rFont val="TimesNewRomanPS"/>
      </rPr>
      <t>4</t>
    </r>
    <r>
      <rPr>
        <b/>
        <sz val="14"/>
        <color theme="9" tint="-0.499984740745262"/>
        <rFont val="TimesNewRomanPS"/>
      </rPr>
      <t xml:space="preserve"> (-)</t>
    </r>
  </si>
  <si>
    <r>
      <t>X</t>
    </r>
    <r>
      <rPr>
        <b/>
        <vertAlign val="subscript"/>
        <sz val="14"/>
        <color theme="9" tint="-0.499984740745262"/>
        <rFont val="Calibri (Body)"/>
      </rPr>
      <t>IOL</t>
    </r>
    <r>
      <rPr>
        <b/>
        <sz val="14"/>
        <color theme="9" tint="-0.499984740745262"/>
        <rFont val="Calibri"/>
        <family val="2"/>
        <scheme val="minor"/>
      </rPr>
      <t xml:space="preserve">  </t>
    </r>
  </si>
  <si>
    <r>
      <t>a1</t>
    </r>
    <r>
      <rPr>
        <i/>
        <vertAlign val="subscript"/>
        <sz val="12"/>
        <color rgb="FF7F7F7F"/>
        <rFont val="Calibri (Body)"/>
      </rPr>
      <t>IOL</t>
    </r>
  </si>
  <si>
    <r>
      <t>a2</t>
    </r>
    <r>
      <rPr>
        <i/>
        <vertAlign val="subscript"/>
        <sz val="12"/>
        <color rgb="FF7F7F7F"/>
        <rFont val="Calibri (Body)"/>
      </rPr>
      <t>IOL</t>
    </r>
  </si>
  <si>
    <r>
      <t>a3</t>
    </r>
    <r>
      <rPr>
        <i/>
        <vertAlign val="subscript"/>
        <sz val="12"/>
        <color rgb="FF7F7F7F"/>
        <rFont val="Calibri (Body)"/>
      </rPr>
      <t>IOL</t>
    </r>
  </si>
  <si>
    <r>
      <t>a4</t>
    </r>
    <r>
      <rPr>
        <i/>
        <vertAlign val="subscript"/>
        <sz val="12"/>
        <color rgb="FF7F7F7F"/>
        <rFont val="Calibri (Body)"/>
      </rPr>
      <t>IOL</t>
    </r>
  </si>
  <si>
    <t>c</t>
  </si>
  <si>
    <r>
      <t>SI</t>
    </r>
    <r>
      <rPr>
        <i/>
        <vertAlign val="subscript"/>
        <sz val="12"/>
        <color rgb="FF7F7F7F"/>
        <rFont val="Calibri (Body)"/>
      </rPr>
      <t>IOL</t>
    </r>
  </si>
  <si>
    <r>
      <t>SII</t>
    </r>
    <r>
      <rPr>
        <i/>
        <vertAlign val="subscript"/>
        <sz val="12"/>
        <color rgb="FF7F7F7F"/>
        <rFont val="Calibri (Body)"/>
      </rPr>
      <t>IOL</t>
    </r>
  </si>
  <si>
    <r>
      <t xml:space="preserve">4th order aspheric term </t>
    </r>
    <r>
      <rPr>
        <i/>
        <sz val="12"/>
        <color rgb="FF7F7F7F"/>
        <rFont val="Symbol"/>
        <family val="1"/>
        <charset val="2"/>
      </rPr>
      <t>e</t>
    </r>
    <r>
      <rPr>
        <i/>
        <sz val="12"/>
        <color rgb="FF7F7F7F"/>
        <rFont val="Calibri"/>
        <family val="2"/>
        <scheme val="minor"/>
      </rPr>
      <t xml:space="preserve">4 </t>
    </r>
  </si>
  <si>
    <t>Optical model parameters</t>
  </si>
  <si>
    <t xml:space="preserve">Optical model parameters </t>
  </si>
  <si>
    <r>
      <t>X</t>
    </r>
    <r>
      <rPr>
        <b/>
        <vertAlign val="subscript"/>
        <sz val="14"/>
        <color theme="9" tint="-0.249977111117893"/>
        <rFont val="Calibri (Body)"/>
      </rPr>
      <t>IOL</t>
    </r>
    <r>
      <rPr>
        <b/>
        <sz val="14"/>
        <color theme="9" tint="-0.249977111117893"/>
        <rFont val="Calibri"/>
        <family val="2"/>
        <scheme val="minor"/>
      </rPr>
      <t xml:space="preserve"> Opt</t>
    </r>
  </si>
  <si>
    <r>
      <t xml:space="preserve">4th order aspheric term </t>
    </r>
    <r>
      <rPr>
        <b/>
        <sz val="14"/>
        <color theme="9" tint="-0.249977111117893"/>
        <rFont val="Symbol"/>
        <family val="1"/>
        <charset val="2"/>
      </rPr>
      <t>e</t>
    </r>
    <r>
      <rPr>
        <b/>
        <sz val="14"/>
        <color theme="9" tint="-0.249977111117893"/>
        <rFont val="Calibri"/>
        <family val="2"/>
        <scheme val="minor"/>
      </rPr>
      <t>4 Opt</t>
    </r>
  </si>
  <si>
    <t>Operating instruction:</t>
  </si>
  <si>
    <r>
      <t>Bruno Chassagne</t>
    </r>
    <r>
      <rPr>
        <b/>
        <vertAlign val="superscript"/>
        <sz val="12"/>
        <color theme="1"/>
        <rFont val="Times New Roman"/>
        <family val="1"/>
      </rPr>
      <t>1</t>
    </r>
    <r>
      <rPr>
        <b/>
        <sz val="12"/>
        <color theme="1"/>
        <rFont val="Times New Roman"/>
        <family val="1"/>
      </rPr>
      <t xml:space="preserve"> and Lionel Canioni</t>
    </r>
    <r>
      <rPr>
        <b/>
        <vertAlign val="superscript"/>
        <sz val="12"/>
        <color theme="1"/>
        <rFont val="Times New Roman"/>
        <family val="1"/>
      </rPr>
      <t>2</t>
    </r>
  </si>
  <si>
    <r>
      <t>2</t>
    </r>
    <r>
      <rPr>
        <i/>
        <sz val="10"/>
        <rFont val="Times"/>
        <family val="1"/>
      </rPr>
      <t>Université de Bordeaux, CNRS, CEA, CELIA, UMR 5107, F-33405 Talence, France</t>
    </r>
  </si>
  <si>
    <r>
      <t>1</t>
    </r>
    <r>
      <rPr>
        <i/>
        <sz val="10"/>
        <color theme="1"/>
        <rFont val="Times"/>
        <family val="1"/>
      </rPr>
      <t>ALPhANOV Centre Technologique Optique et Lasers, Institut d’Optique d’Aquitaine, 33400 Talence, France</t>
    </r>
  </si>
  <si>
    <t>Analytical solution of personalized intraocular lens design for the correction of spherical aberration and coma of a pseudophakic eye</t>
  </si>
  <si>
    <t>NA</t>
  </si>
  <si>
    <r>
      <t xml:space="preserve">The </t>
    </r>
    <r>
      <rPr>
        <b/>
        <sz val="11"/>
        <color rgb="FFFF0000"/>
        <rFont val="Calibri (Body)_x0000_"/>
      </rPr>
      <t>red values</t>
    </r>
    <r>
      <rPr>
        <sz val="11"/>
        <color theme="1"/>
        <rFont val="Calibri"/>
        <family val="2"/>
        <scheme val="minor"/>
      </rPr>
      <t xml:space="preserve"> must be provided from eye measurement and targeted IOL: index, thickness, optical power of the IOL, anterior chamber depth e2.The expected  input are displayed in red in the shaded zones.</t>
    </r>
    <r>
      <rPr>
        <b/>
        <sz val="11"/>
        <color theme="5" tint="-0.499984740745262"/>
        <rFont val="Calibri (Body)_x0000_"/>
      </rPr>
      <t xml:space="preserve"> Dark orange values</t>
    </r>
    <r>
      <rPr>
        <sz val="11"/>
        <color theme="1"/>
        <rFont val="Calibri"/>
        <family val="2"/>
        <scheme val="minor"/>
      </rPr>
      <t xml:space="preserve"> are provided from LBME eye model and could be also ajusted if necessary. The calculated intra ocular lens parameters are displayed in </t>
    </r>
    <r>
      <rPr>
        <b/>
        <sz val="11"/>
        <color theme="9" tint="-0.499984740745262"/>
        <rFont val="Calibri (Body)_x0000_"/>
      </rPr>
      <t xml:space="preserve">green </t>
    </r>
  </si>
  <si>
    <t xml:space="preserve">R1 </t>
  </si>
  <si>
    <t xml:space="preserve">e1 </t>
  </si>
  <si>
    <t>Q1</t>
  </si>
  <si>
    <t>n1</t>
  </si>
  <si>
    <t>R2</t>
  </si>
  <si>
    <t>Postoperative aqueous depth e2</t>
  </si>
  <si>
    <t xml:space="preserve">Q2 </t>
  </si>
  <si>
    <t xml:space="preserve">n2 </t>
  </si>
  <si>
    <r>
      <t>n</t>
    </r>
    <r>
      <rPr>
        <b/>
        <vertAlign val="subscript"/>
        <sz val="12"/>
        <color rgb="FF7F7F7F"/>
        <rFont val="Calibri (Body)"/>
      </rPr>
      <t>IOL</t>
    </r>
    <r>
      <rPr>
        <b/>
        <sz val="12"/>
        <color rgb="FF7F7F7F"/>
        <rFont val="Calibri"/>
        <family val="2"/>
        <scheme val="minor"/>
      </rPr>
      <t xml:space="preserve"> </t>
    </r>
  </si>
  <si>
    <r>
      <t>e</t>
    </r>
    <r>
      <rPr>
        <b/>
        <vertAlign val="subscript"/>
        <sz val="12"/>
        <color rgb="FF7F7F7F"/>
        <rFont val="Calibri (Body)"/>
      </rPr>
      <t xml:space="preserve">IOL </t>
    </r>
  </si>
  <si>
    <t xml:space="preserve">eIOL </t>
  </si>
  <si>
    <r>
      <rPr>
        <b/>
        <sz val="12"/>
        <color theme="0" tint="-0.499984740745262"/>
        <rFont val="Symbol"/>
        <family val="1"/>
        <charset val="2"/>
      </rPr>
      <t>k</t>
    </r>
    <r>
      <rPr>
        <b/>
        <vertAlign val="subscript"/>
        <sz val="12"/>
        <color theme="0" tint="-0.499984740745262"/>
        <rFont val="Calibri (Body)"/>
      </rPr>
      <t>1 (rad)</t>
    </r>
  </si>
  <si>
    <r>
      <t>P</t>
    </r>
    <r>
      <rPr>
        <b/>
        <vertAlign val="subscript"/>
        <sz val="12"/>
        <color rgb="FF7F7F7F"/>
        <rFont val="Calibri (Body)"/>
      </rPr>
      <t>IOL</t>
    </r>
    <r>
      <rPr>
        <b/>
        <sz val="12"/>
        <color rgb="FF7F7F7F"/>
        <rFont val="Calibri"/>
        <family val="2"/>
        <scheme val="minor"/>
      </rPr>
      <t xml:space="preserve"> (D)</t>
    </r>
  </si>
  <si>
    <r>
      <t>h</t>
    </r>
    <r>
      <rPr>
        <b/>
        <vertAlign val="subscript"/>
        <sz val="12"/>
        <color rgb="FF7F7F7F"/>
        <rFont val="Calibri (Body)"/>
      </rPr>
      <t>1</t>
    </r>
  </si>
  <si>
    <r>
      <rPr>
        <b/>
        <sz val="12"/>
        <color rgb="FF7F7F7F"/>
        <rFont val="Symbol"/>
        <family val="1"/>
        <charset val="2"/>
      </rPr>
      <t>k</t>
    </r>
    <r>
      <rPr>
        <b/>
        <sz val="12"/>
        <color rgb="FF7F7F7F"/>
        <rFont val="Calibri"/>
        <family val="2"/>
        <scheme val="minor"/>
      </rPr>
      <t>1(°)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</si>
</sst>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0.0000"/>
    <numFmt numFmtId="166" formatCode="0.000"/>
    <numFmt numFmtId="167" formatCode="0.000000"/>
    <numFmt numFmtId="168" formatCode="0.00000000"/>
  </numFmts>
  <fonts count="6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8"/>
      <color theme="1"/>
      <name val="TimesNewRomanPSMT"/>
    </font>
    <font>
      <sz val="10"/>
      <color theme="1"/>
      <name val="TimesNewRomanPSMT"/>
    </font>
    <font>
      <sz val="6"/>
      <color theme="1"/>
      <name val="TimesNewRomanPSMT"/>
    </font>
    <font>
      <sz val="11"/>
      <color theme="1"/>
      <name val="TimesNewRomanPSMT"/>
    </font>
    <font>
      <sz val="11"/>
      <color theme="1"/>
      <name val="Calibri"/>
      <family val="2"/>
      <scheme val="minor"/>
    </font>
    <font>
      <i/>
      <sz val="11"/>
      <color theme="1"/>
      <name val="TimesNewRomanPS"/>
    </font>
    <font>
      <i/>
      <sz val="10"/>
      <color theme="1"/>
      <name val="TimesNewRomanPS"/>
    </font>
    <font>
      <i/>
      <sz val="6"/>
      <color theme="1"/>
      <name val="TimesNewRomanPS"/>
    </font>
    <font>
      <sz val="12"/>
      <color theme="9" tint="-0.499984740745262"/>
      <name val="TimesNewRomanPS"/>
    </font>
    <font>
      <i/>
      <sz val="12"/>
      <color rgb="FF7F7F7F"/>
      <name val="Calibri"/>
      <family val="2"/>
      <charset val="2"/>
    </font>
    <font>
      <b/>
      <sz val="12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7F7F7F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i/>
      <vertAlign val="subscript"/>
      <sz val="12"/>
      <color rgb="FF7F7F7F"/>
      <name val="Calibri (Body)"/>
    </font>
    <font>
      <sz val="16"/>
      <color theme="3"/>
      <name val="Calibri Light"/>
      <family val="2"/>
      <scheme val="major"/>
    </font>
    <font>
      <sz val="14"/>
      <color theme="3"/>
      <name val="Calibri Light"/>
      <family val="2"/>
      <scheme val="major"/>
    </font>
    <font>
      <b/>
      <vertAlign val="subscript"/>
      <sz val="12"/>
      <color rgb="FF7F7F7F"/>
      <name val="Calibri (Body)"/>
    </font>
    <font>
      <b/>
      <sz val="12"/>
      <color theme="5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4"/>
      <color theme="3"/>
      <name val="Calibri Light (Headings)"/>
    </font>
    <font>
      <b/>
      <sz val="12"/>
      <color theme="0" tint="-0.499984740745262"/>
      <name val="Calibri"/>
      <family val="1"/>
      <charset val="2"/>
    </font>
    <font>
      <b/>
      <sz val="12"/>
      <color theme="0" tint="-0.499984740745262"/>
      <name val="Symbol"/>
      <family val="1"/>
      <charset val="2"/>
    </font>
    <font>
      <b/>
      <vertAlign val="subscript"/>
      <sz val="12"/>
      <color theme="0" tint="-0.499984740745262"/>
      <name val="Calibri (Body)"/>
    </font>
    <font>
      <b/>
      <i/>
      <vertAlign val="subscript"/>
      <sz val="12"/>
      <color rgb="FF7F7F7F"/>
      <name val="Calibri (Body)"/>
    </font>
    <font>
      <b/>
      <i/>
      <sz val="6"/>
      <color theme="1"/>
      <name val="TimesNewRomanPS"/>
    </font>
    <font>
      <b/>
      <sz val="18"/>
      <color theme="1"/>
      <name val="Times New Roman"/>
      <family val="1"/>
    </font>
    <font>
      <b/>
      <sz val="12"/>
      <color theme="9" tint="-0.499984740745262"/>
      <name val="Calibri"/>
      <family val="2"/>
      <scheme val="minor"/>
    </font>
    <font>
      <b/>
      <sz val="14"/>
      <color theme="9" tint="-0.499984740745262"/>
      <name val="TimesNewRomanPS"/>
    </font>
    <font>
      <b/>
      <sz val="14"/>
      <color theme="9" tint="-0.499984740745262"/>
      <name val="Calibri"/>
      <family val="2"/>
      <scheme val="minor"/>
    </font>
    <font>
      <b/>
      <sz val="14"/>
      <color theme="9" tint="-0.499984740745262"/>
      <name val="Calibri"/>
      <family val="1"/>
      <charset val="2"/>
    </font>
    <font>
      <b/>
      <sz val="14"/>
      <color theme="9" tint="-0.499984740745262"/>
      <name val="Symbol"/>
      <family val="1"/>
      <charset val="2"/>
    </font>
    <font>
      <b/>
      <vertAlign val="subscript"/>
      <sz val="14"/>
      <color theme="9" tint="-0.499984740745262"/>
      <name val="TimesNewRomanPS"/>
    </font>
    <font>
      <b/>
      <vertAlign val="subscript"/>
      <sz val="14"/>
      <color theme="9" tint="-0.499984740745262"/>
      <name val="Calibri (Body)"/>
    </font>
    <font>
      <i/>
      <sz val="12"/>
      <color rgb="FF7F7F7F"/>
      <name val="Symbol"/>
      <family val="1"/>
      <charset val="2"/>
    </font>
    <font>
      <b/>
      <sz val="12"/>
      <color theme="1"/>
      <name val="Calibri"/>
      <family val="2"/>
    </font>
    <font>
      <b/>
      <sz val="14"/>
      <color theme="9" tint="-0.249977111117893"/>
      <name val="Calibri"/>
      <family val="2"/>
      <scheme val="minor"/>
    </font>
    <font>
      <b/>
      <vertAlign val="subscript"/>
      <sz val="14"/>
      <color theme="9" tint="-0.249977111117893"/>
      <name val="Calibri (Body)"/>
    </font>
    <font>
      <b/>
      <sz val="14"/>
      <color theme="9" tint="-0.249977111117893"/>
      <name val="Symbol"/>
      <family val="1"/>
      <charset val="2"/>
    </font>
    <font>
      <b/>
      <sz val="12"/>
      <color rgb="FF7F7F7F"/>
      <name val="Symbol"/>
      <family val="1"/>
      <charset val="2"/>
    </font>
    <font>
      <i/>
      <sz val="12"/>
      <color theme="5" tint="-0.499984740745262"/>
      <name val="Calibri"/>
      <family val="2"/>
      <charset val="2"/>
    </font>
    <font>
      <sz val="11"/>
      <color theme="5" tint="-0.499984740745262"/>
      <name val="TimesNewRomanPSMT"/>
    </font>
    <font>
      <b/>
      <sz val="11"/>
      <color rgb="FFFF0000"/>
      <name val="Calibri (Body)_x0000_"/>
    </font>
    <font>
      <b/>
      <sz val="11"/>
      <color theme="5" tint="-0.499984740745262"/>
      <name val="Calibri (Body)_x0000_"/>
    </font>
    <font>
      <b/>
      <sz val="11"/>
      <color theme="9" tint="-0.499984740745262"/>
      <name val="Calibri (Body)_x0000_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i/>
      <vertAlign val="superscript"/>
      <sz val="10"/>
      <name val="Times"/>
      <family val="1"/>
    </font>
    <font>
      <i/>
      <sz val="10"/>
      <name val="Times"/>
      <family val="1"/>
    </font>
    <font>
      <i/>
      <vertAlign val="superscript"/>
      <sz val="10"/>
      <color theme="1"/>
      <name val="Times"/>
      <family val="1"/>
    </font>
    <font>
      <i/>
      <sz val="10"/>
      <color theme="1"/>
      <name val="Times"/>
      <family val="1"/>
    </font>
    <font>
      <b/>
      <sz val="12"/>
      <color rgb="FF7F7F7F"/>
      <name val="Calibri"/>
      <family val="1"/>
      <charset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7F7F7F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rgb="FF7F7F7F"/>
      </top>
      <bottom/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7F7F7F"/>
      </bottom>
      <diagonal/>
    </border>
    <border>
      <left/>
      <right style="medium">
        <color indexed="64"/>
      </right>
      <top style="thin">
        <color rgb="FF3F3F3F"/>
      </top>
      <bottom/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 style="medium">
        <color indexed="64"/>
      </left>
      <right style="thin">
        <color rgb="FF3F3F3F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 style="medium">
        <color indexed="64"/>
      </bottom>
      <diagonal/>
    </border>
    <border>
      <left style="thin">
        <color rgb="FF3F3F3F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7F7F7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rgb="FF3F3F3F"/>
      </top>
      <bottom style="medium">
        <color indexed="64"/>
      </bottom>
      <diagonal/>
    </border>
    <border>
      <left/>
      <right/>
      <top style="thin">
        <color rgb="FF7F7F7F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6" fillId="3" borderId="3" applyNumberFormat="0" applyAlignment="0" applyProtection="0"/>
    <xf numFmtId="0" fontId="7" fillId="0" borderId="0" applyNumberFormat="0" applyFill="0" applyBorder="0" applyAlignment="0" applyProtection="0"/>
  </cellStyleXfs>
  <cellXfs count="164">
    <xf numFmtId="0" fontId="0" fillId="0" borderId="0" xfId="0"/>
    <xf numFmtId="0" fontId="14" fillId="0" borderId="0" xfId="0" applyFont="1"/>
    <xf numFmtId="0" fontId="16" fillId="0" borderId="0" xfId="0" applyFont="1"/>
    <xf numFmtId="0" fontId="8" fillId="0" borderId="0" xfId="0" applyFont="1"/>
    <xf numFmtId="0" fontId="4" fillId="0" borderId="0" xfId="2" applyBorder="1"/>
    <xf numFmtId="11" fontId="0" fillId="0" borderId="0" xfId="0" applyNumberFormat="1"/>
    <xf numFmtId="168" fontId="0" fillId="0" borderId="0" xfId="0" applyNumberFormat="1" applyAlignment="1">
      <alignment horizontal="center"/>
    </xf>
    <xf numFmtId="0" fontId="0" fillId="0" borderId="0" xfId="0" applyBorder="1"/>
    <xf numFmtId="0" fontId="7" fillId="0" borderId="10" xfId="5" applyBorder="1" applyAlignment="1">
      <alignment horizontal="center" vertical="center"/>
    </xf>
    <xf numFmtId="0" fontId="7" fillId="0" borderId="25" xfId="5" applyBorder="1" applyAlignment="1">
      <alignment horizontal="center" vertical="center"/>
    </xf>
    <xf numFmtId="0" fontId="7" fillId="0" borderId="14" xfId="5" applyBorder="1" applyAlignment="1">
      <alignment horizontal="center" vertical="center"/>
    </xf>
    <xf numFmtId="0" fontId="6" fillId="3" borderId="48" xfId="4" applyBorder="1" applyAlignment="1">
      <alignment horizontal="center" vertical="center"/>
    </xf>
    <xf numFmtId="166" fontId="6" fillId="3" borderId="48" xfId="4" applyNumberFormat="1" applyBorder="1" applyAlignment="1">
      <alignment horizontal="center" vertical="center"/>
    </xf>
    <xf numFmtId="0" fontId="3" fillId="0" borderId="38" xfId="1" applyBorder="1"/>
    <xf numFmtId="0" fontId="23" fillId="0" borderId="51" xfId="1" applyFont="1" applyBorder="1" applyAlignment="1">
      <alignment horizontal="right" vertical="center"/>
    </xf>
    <xf numFmtId="0" fontId="23" fillId="0" borderId="51" xfId="1" applyFont="1" applyBorder="1"/>
    <xf numFmtId="0" fontId="23" fillId="0" borderId="51" xfId="1" applyFont="1" applyBorder="1" applyAlignment="1">
      <alignment vertical="center"/>
    </xf>
    <xf numFmtId="0" fontId="4" fillId="0" borderId="12" xfId="1" applyFont="1" applyBorder="1" applyAlignment="1">
      <alignment horizontal="left" vertical="center"/>
    </xf>
    <xf numFmtId="0" fontId="4" fillId="0" borderId="5" xfId="1" applyFont="1" applyBorder="1"/>
    <xf numFmtId="165" fontId="35" fillId="7" borderId="39" xfId="3" applyNumberFormat="1" applyFont="1" applyFill="1" applyBorder="1" applyAlignment="1" applyProtection="1">
      <alignment horizontal="center" wrapText="1"/>
    </xf>
    <xf numFmtId="0" fontId="26" fillId="5" borderId="28" xfId="4" applyFont="1" applyFill="1" applyBorder="1" applyAlignment="1" applyProtection="1">
      <alignment horizontal="center"/>
      <protection locked="0"/>
    </xf>
    <xf numFmtId="0" fontId="26" fillId="5" borderId="23" xfId="4" applyFont="1" applyFill="1" applyBorder="1" applyAlignment="1" applyProtection="1">
      <alignment horizontal="center"/>
      <protection locked="0"/>
    </xf>
    <xf numFmtId="0" fontId="26" fillId="5" borderId="29" xfId="4" applyFont="1" applyFill="1" applyBorder="1" applyAlignment="1" applyProtection="1">
      <alignment horizontal="center"/>
      <protection locked="0"/>
    </xf>
    <xf numFmtId="0" fontId="26" fillId="5" borderId="30" xfId="4" applyFont="1" applyFill="1" applyBorder="1" applyAlignment="1" applyProtection="1">
      <alignment horizontal="center"/>
      <protection locked="0"/>
    </xf>
    <xf numFmtId="0" fontId="26" fillId="5" borderId="16" xfId="4" applyFont="1" applyFill="1" applyBorder="1" applyAlignment="1" applyProtection="1">
      <alignment horizontal="center"/>
      <protection locked="0"/>
    </xf>
    <xf numFmtId="0" fontId="26" fillId="5" borderId="59" xfId="4" applyFont="1" applyFill="1" applyBorder="1" applyAlignment="1" applyProtection="1">
      <alignment horizontal="center"/>
      <protection locked="0"/>
    </xf>
    <xf numFmtId="0" fontId="26" fillId="5" borderId="13" xfId="4" applyFont="1" applyFill="1" applyBorder="1" applyAlignment="1" applyProtection="1">
      <alignment horizontal="center"/>
      <protection locked="0"/>
    </xf>
    <xf numFmtId="0" fontId="27" fillId="4" borderId="24" xfId="3" applyFont="1" applyFill="1" applyBorder="1" applyAlignment="1" applyProtection="1">
      <alignment horizontal="center" wrapText="1"/>
      <protection locked="0"/>
    </xf>
    <xf numFmtId="0" fontId="27" fillId="4" borderId="54" xfId="3" applyFont="1" applyFill="1" applyBorder="1" applyAlignment="1" applyProtection="1">
      <alignment horizontal="center" wrapText="1"/>
      <protection locked="0"/>
    </xf>
    <xf numFmtId="0" fontId="27" fillId="4" borderId="29" xfId="3" applyFont="1" applyFill="1" applyBorder="1" applyAlignment="1" applyProtection="1">
      <alignment horizontal="center" wrapText="1"/>
      <protection locked="0"/>
    </xf>
    <xf numFmtId="0" fontId="27" fillId="4" borderId="43" xfId="3" applyFont="1" applyFill="1" applyBorder="1" applyAlignment="1" applyProtection="1">
      <alignment horizontal="center" wrapText="1"/>
      <protection locked="0"/>
    </xf>
    <xf numFmtId="0" fontId="27" fillId="4" borderId="57" xfId="3" applyFont="1" applyFill="1" applyBorder="1" applyAlignment="1" applyProtection="1">
      <alignment horizontal="center" wrapText="1"/>
      <protection locked="0"/>
    </xf>
    <xf numFmtId="166" fontId="6" fillId="3" borderId="47" xfId="4" applyNumberFormat="1" applyBorder="1" applyAlignment="1">
      <alignment horizontal="center" vertical="center"/>
    </xf>
    <xf numFmtId="166" fontId="6" fillId="3" borderId="49" xfId="4" applyNumberFormat="1" applyBorder="1" applyAlignment="1">
      <alignment horizontal="center" vertical="center"/>
    </xf>
    <xf numFmtId="0" fontId="44" fillId="0" borderId="7" xfId="5" applyFont="1" applyBorder="1" applyAlignment="1">
      <alignment horizontal="center" vertical="center" wrapText="1"/>
    </xf>
    <xf numFmtId="166" fontId="37" fillId="6" borderId="8" xfId="4" applyNumberFormat="1" applyFont="1" applyFill="1" applyBorder="1" applyAlignment="1">
      <alignment horizontal="center"/>
    </xf>
    <xf numFmtId="164" fontId="37" fillId="6" borderId="8" xfId="4" applyNumberFormat="1" applyFont="1" applyFill="1" applyBorder="1" applyAlignment="1">
      <alignment horizontal="center"/>
    </xf>
    <xf numFmtId="0" fontId="7" fillId="0" borderId="10" xfId="5" applyBorder="1" applyAlignment="1">
      <alignment horizontal="center"/>
    </xf>
    <xf numFmtId="0" fontId="7" fillId="0" borderId="25" xfId="5" applyBorder="1" applyAlignment="1">
      <alignment horizontal="center"/>
    </xf>
    <xf numFmtId="0" fontId="7" fillId="0" borderId="14" xfId="5" applyBorder="1" applyAlignment="1">
      <alignment horizontal="center"/>
    </xf>
    <xf numFmtId="164" fontId="6" fillId="3" borderId="47" xfId="4" applyNumberFormat="1" applyBorder="1" applyAlignment="1">
      <alignment horizontal="center"/>
    </xf>
    <xf numFmtId="164" fontId="6" fillId="3" borderId="48" xfId="4" applyNumberFormat="1" applyBorder="1" applyAlignment="1">
      <alignment horizontal="center"/>
    </xf>
    <xf numFmtId="167" fontId="6" fillId="3" borderId="48" xfId="4" applyNumberFormat="1" applyBorder="1" applyAlignment="1">
      <alignment horizontal="center"/>
    </xf>
    <xf numFmtId="164" fontId="6" fillId="3" borderId="49" xfId="4" applyNumberFormat="1" applyBorder="1" applyAlignment="1">
      <alignment horizontal="center"/>
    </xf>
    <xf numFmtId="0" fontId="7" fillId="0" borderId="22" xfId="5" applyBorder="1" applyAlignment="1">
      <alignment horizontal="center"/>
    </xf>
    <xf numFmtId="164" fontId="6" fillId="3" borderId="61" xfId="4" applyNumberFormat="1" applyBorder="1" applyAlignment="1">
      <alignment horizontal="center"/>
    </xf>
    <xf numFmtId="164" fontId="6" fillId="3" borderId="62" xfId="4" applyNumberFormat="1" applyBorder="1" applyAlignment="1">
      <alignment horizontal="center"/>
    </xf>
    <xf numFmtId="0" fontId="0" fillId="0" borderId="0" xfId="0" applyAlignment="1">
      <alignment horizontal="center"/>
    </xf>
    <xf numFmtId="0" fontId="42" fillId="0" borderId="58" xfId="5" applyFont="1" applyBorder="1" applyAlignment="1">
      <alignment horizontal="center"/>
    </xf>
    <xf numFmtId="0" fontId="7" fillId="0" borderId="36" xfId="5" applyBorder="1" applyAlignment="1">
      <alignment horizontal="center" wrapText="1"/>
    </xf>
    <xf numFmtId="164" fontId="43" fillId="7" borderId="46" xfId="5" applyNumberFormat="1" applyFont="1" applyFill="1" applyBorder="1" applyAlignment="1">
      <alignment horizontal="center" wrapText="1"/>
    </xf>
    <xf numFmtId="164" fontId="6" fillId="3" borderId="42" xfId="4" applyNumberFormat="1" applyBorder="1" applyAlignment="1">
      <alignment horizontal="center"/>
    </xf>
    <xf numFmtId="0" fontId="7" fillId="0" borderId="37" xfId="5" applyBorder="1" applyAlignment="1">
      <alignment horizontal="center" wrapText="1"/>
    </xf>
    <xf numFmtId="164" fontId="6" fillId="3" borderId="43" xfId="4" applyNumberFormat="1" applyBorder="1" applyAlignment="1">
      <alignment horizontal="center"/>
    </xf>
    <xf numFmtId="0" fontId="20" fillId="0" borderId="44" xfId="5" applyFont="1" applyBorder="1" applyAlignment="1">
      <alignment horizontal="center" wrapText="1"/>
    </xf>
    <xf numFmtId="165" fontId="6" fillId="3" borderId="40" xfId="4" applyNumberFormat="1" applyBorder="1" applyAlignment="1">
      <alignment horizontal="center"/>
    </xf>
    <xf numFmtId="0" fontId="20" fillId="0" borderId="63" xfId="5" applyFont="1" applyBorder="1" applyAlignment="1">
      <alignment horizontal="center" wrapText="1"/>
    </xf>
    <xf numFmtId="0" fontId="6" fillId="3" borderId="46" xfId="4" applyBorder="1" applyAlignment="1">
      <alignment horizontal="center"/>
    </xf>
    <xf numFmtId="0" fontId="20" fillId="0" borderId="36" xfId="5" applyFont="1" applyBorder="1" applyAlignment="1">
      <alignment horizontal="center" wrapText="1"/>
    </xf>
    <xf numFmtId="165" fontId="6" fillId="3" borderId="64" xfId="4" applyNumberFormat="1" applyBorder="1" applyAlignment="1">
      <alignment horizontal="center"/>
    </xf>
    <xf numFmtId="0" fontId="20" fillId="0" borderId="41" xfId="5" applyFont="1" applyBorder="1" applyAlignment="1">
      <alignment horizontal="center" wrapText="1"/>
    </xf>
    <xf numFmtId="0" fontId="6" fillId="0" borderId="45" xfId="4" applyFill="1" applyBorder="1" applyAlignment="1">
      <alignment horizontal="center"/>
    </xf>
    <xf numFmtId="164" fontId="6" fillId="3" borderId="64" xfId="4" applyNumberFormat="1" applyBorder="1" applyAlignment="1">
      <alignment horizontal="center"/>
    </xf>
    <xf numFmtId="164" fontId="6" fillId="0" borderId="46" xfId="4" applyNumberFormat="1" applyFill="1" applyBorder="1" applyAlignment="1">
      <alignment horizontal="center"/>
    </xf>
    <xf numFmtId="0" fontId="20" fillId="0" borderId="37" xfId="5" applyFont="1" applyBorder="1" applyAlignment="1">
      <alignment horizontal="center" wrapText="1"/>
    </xf>
    <xf numFmtId="165" fontId="6" fillId="3" borderId="65" xfId="4" applyNumberFormat="1" applyBorder="1" applyAlignment="1">
      <alignment horizontal="center"/>
    </xf>
    <xf numFmtId="0" fontId="20" fillId="0" borderId="66" xfId="5" applyFont="1" applyBorder="1" applyAlignment="1">
      <alignment horizontal="center" wrapText="1"/>
    </xf>
    <xf numFmtId="167" fontId="6" fillId="3" borderId="43" xfId="4" applyNumberFormat="1" applyBorder="1" applyAlignment="1">
      <alignment horizontal="center"/>
    </xf>
    <xf numFmtId="0" fontId="18" fillId="0" borderId="10" xfId="5" applyFont="1" applyBorder="1" applyAlignment="1">
      <alignment horizontal="center" wrapText="1"/>
    </xf>
    <xf numFmtId="0" fontId="7" fillId="0" borderId="69" xfId="5" applyBorder="1" applyAlignment="1">
      <alignment horizontal="center" wrapText="1"/>
    </xf>
    <xf numFmtId="0" fontId="7" fillId="0" borderId="72" xfId="5" applyBorder="1" applyAlignment="1">
      <alignment horizontal="center" wrapText="1"/>
    </xf>
    <xf numFmtId="0" fontId="7" fillId="0" borderId="38" xfId="5" applyBorder="1" applyAlignment="1">
      <alignment horizontal="center" wrapText="1"/>
    </xf>
    <xf numFmtId="0" fontId="7" fillId="0" borderId="35" xfId="5" applyBorder="1" applyAlignment="1">
      <alignment horizontal="center" wrapText="1"/>
    </xf>
    <xf numFmtId="165" fontId="21" fillId="0" borderId="70" xfId="0" applyNumberFormat="1" applyFont="1" applyBorder="1" applyAlignment="1">
      <alignment horizontal="center"/>
    </xf>
    <xf numFmtId="165" fontId="21" fillId="0" borderId="73" xfId="0" applyNumberFormat="1" applyFont="1" applyBorder="1" applyAlignment="1">
      <alignment horizontal="center"/>
    </xf>
    <xf numFmtId="165" fontId="21" fillId="0" borderId="67" xfId="0" applyNumberFormat="1" applyFont="1" applyBorder="1" applyAlignment="1">
      <alignment horizontal="center"/>
    </xf>
    <xf numFmtId="0" fontId="7" fillId="0" borderId="68" xfId="5" applyBorder="1" applyAlignment="1">
      <alignment horizontal="center" wrapText="1"/>
    </xf>
    <xf numFmtId="165" fontId="21" fillId="0" borderId="71" xfId="0" applyNumberFormat="1" applyFont="1" applyBorder="1" applyAlignment="1">
      <alignment horizontal="center"/>
    </xf>
    <xf numFmtId="165" fontId="21" fillId="0" borderId="74" xfId="0" applyNumberFormat="1" applyFont="1" applyBorder="1" applyAlignment="1">
      <alignment horizontal="center"/>
    </xf>
    <xf numFmtId="165" fontId="21" fillId="0" borderId="30" xfId="0" applyNumberFormat="1" applyFont="1" applyBorder="1" applyAlignment="1">
      <alignment horizontal="center"/>
    </xf>
    <xf numFmtId="0" fontId="6" fillId="3" borderId="17" xfId="4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15" xfId="0" applyBorder="1" applyProtection="1">
      <protection locked="0"/>
    </xf>
    <xf numFmtId="0" fontId="34" fillId="0" borderId="0" xfId="0" applyFont="1" applyAlignment="1" applyProtection="1">
      <alignment horizontal="left" vertical="center"/>
    </xf>
    <xf numFmtId="0" fontId="0" fillId="0" borderId="0" xfId="0" applyProtection="1"/>
    <xf numFmtId="0" fontId="53" fillId="0" borderId="0" xfId="0" applyFont="1" applyAlignment="1" applyProtection="1">
      <alignment horizontal="left" vertical="center"/>
    </xf>
    <xf numFmtId="0" fontId="57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wrapText="1"/>
    </xf>
    <xf numFmtId="0" fontId="55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wrapText="1"/>
    </xf>
    <xf numFmtId="0" fontId="4" fillId="0" borderId="51" xfId="2" applyBorder="1" applyProtection="1"/>
    <xf numFmtId="0" fontId="11" fillId="0" borderId="51" xfId="0" applyFont="1" applyBorder="1" applyAlignment="1" applyProtection="1">
      <alignment wrapText="1"/>
    </xf>
    <xf numFmtId="0" fontId="13" fillId="0" borderId="51" xfId="0" applyFont="1" applyBorder="1" applyAlignment="1" applyProtection="1">
      <alignment wrapText="1"/>
    </xf>
    <xf numFmtId="0" fontId="3" fillId="0" borderId="4" xfId="1" applyFont="1" applyBorder="1" applyAlignment="1" applyProtection="1">
      <alignment horizontal="center" vertical="top" wrapText="1"/>
    </xf>
    <xf numFmtId="0" fontId="24" fillId="0" borderId="16" xfId="1" applyFont="1" applyBorder="1" applyAlignment="1" applyProtection="1">
      <alignment horizontal="center" wrapText="1"/>
    </xf>
    <xf numFmtId="0" fontId="24" fillId="0" borderId="52" xfId="1" applyFont="1" applyBorder="1" applyAlignment="1" applyProtection="1">
      <alignment horizontal="center" wrapText="1"/>
    </xf>
    <xf numFmtId="0" fontId="24" fillId="0" borderId="53" xfId="1" applyFont="1" applyBorder="1" applyAlignment="1" applyProtection="1">
      <alignment horizontal="center" wrapText="1"/>
    </xf>
    <xf numFmtId="0" fontId="7" fillId="0" borderId="10" xfId="5" applyBorder="1" applyAlignment="1" applyProtection="1">
      <alignment wrapText="1"/>
    </xf>
    <xf numFmtId="0" fontId="7" fillId="0" borderId="25" xfId="5" applyBorder="1" applyAlignment="1" applyProtection="1">
      <alignment horizontal="center" wrapText="1"/>
    </xf>
    <xf numFmtId="0" fontId="7" fillId="0" borderId="21" xfId="5" applyBorder="1" applyAlignment="1" applyProtection="1">
      <alignment horizontal="center" wrapText="1"/>
    </xf>
    <xf numFmtId="0" fontId="7" fillId="0" borderId="25" xfId="5" applyBorder="1" applyAlignment="1" applyProtection="1">
      <alignment wrapText="1"/>
    </xf>
    <xf numFmtId="0" fontId="7" fillId="0" borderId="6" xfId="5" applyBorder="1" applyAlignment="1" applyProtection="1">
      <alignment horizontal="center" wrapText="1"/>
    </xf>
    <xf numFmtId="0" fontId="11" fillId="0" borderId="26" xfId="0" applyFont="1" applyBorder="1" applyAlignment="1" applyProtection="1">
      <alignment wrapText="1"/>
    </xf>
    <xf numFmtId="0" fontId="26" fillId="5" borderId="4" xfId="4" applyFont="1" applyFill="1" applyBorder="1" applyAlignment="1" applyProtection="1">
      <alignment horizontal="center"/>
    </xf>
    <xf numFmtId="0" fontId="7" fillId="0" borderId="27" xfId="5" applyBorder="1" applyAlignment="1" applyProtection="1">
      <alignment wrapText="1"/>
    </xf>
    <xf numFmtId="0" fontId="7" fillId="0" borderId="0" xfId="5" applyAlignment="1" applyProtection="1">
      <alignment horizontal="center" wrapText="1"/>
    </xf>
    <xf numFmtId="0" fontId="18" fillId="0" borderId="18" xfId="5" applyFont="1" applyBorder="1" applyAlignment="1" applyProtection="1">
      <alignment horizontal="center" wrapText="1"/>
    </xf>
    <xf numFmtId="0" fontId="7" fillId="0" borderId="32" xfId="5" applyBorder="1" applyAlignment="1" applyProtection="1">
      <alignment horizontal="center" wrapText="1"/>
    </xf>
    <xf numFmtId="0" fontId="7" fillId="0" borderId="33" xfId="5" applyBorder="1" applyAlignment="1" applyProtection="1">
      <alignment wrapText="1"/>
    </xf>
    <xf numFmtId="0" fontId="7" fillId="0" borderId="31" xfId="5" applyBorder="1" applyAlignment="1" applyProtection="1">
      <alignment horizontal="center" wrapText="1"/>
    </xf>
    <xf numFmtId="0" fontId="11" fillId="0" borderId="12" xfId="0" applyFont="1" applyBorder="1" applyAlignment="1" applyProtection="1">
      <alignment wrapText="1"/>
    </xf>
    <xf numFmtId="0" fontId="26" fillId="5" borderId="34" xfId="4" applyFont="1" applyFill="1" applyBorder="1" applyAlignment="1" applyProtection="1">
      <alignment horizontal="center"/>
    </xf>
    <xf numFmtId="0" fontId="7" fillId="0" borderId="15" xfId="5" applyBorder="1" applyAlignment="1" applyProtection="1">
      <alignment horizontal="center" wrapText="1"/>
    </xf>
    <xf numFmtId="0" fontId="37" fillId="0" borderId="4" xfId="5" applyFont="1" applyBorder="1" applyAlignment="1" applyProtection="1">
      <alignment horizontal="center" vertical="center" wrapText="1"/>
    </xf>
    <xf numFmtId="0" fontId="17" fillId="0" borderId="4" xfId="5" applyFont="1" applyBorder="1" applyAlignment="1" applyProtection="1">
      <alignment horizontal="center" wrapText="1"/>
    </xf>
    <xf numFmtId="0" fontId="38" fillId="0" borderId="4" xfId="5" applyFont="1" applyBorder="1" applyAlignment="1" applyProtection="1">
      <alignment horizontal="center" vertical="center" wrapText="1"/>
    </xf>
    <xf numFmtId="0" fontId="18" fillId="0" borderId="14" xfId="5" applyFont="1" applyBorder="1" applyAlignment="1" applyProtection="1">
      <alignment horizontal="center" wrapText="1"/>
    </xf>
    <xf numFmtId="0" fontId="11" fillId="0" borderId="26" xfId="0" applyFont="1" applyBorder="1" applyAlignment="1" applyProtection="1">
      <alignment horizontal="center" wrapText="1"/>
    </xf>
    <xf numFmtId="2" fontId="36" fillId="6" borderId="28" xfId="0" applyNumberFormat="1" applyFont="1" applyFill="1" applyBorder="1" applyAlignment="1" applyProtection="1">
      <alignment horizontal="center" wrapText="1"/>
    </xf>
    <xf numFmtId="164" fontId="37" fillId="6" borderId="28" xfId="0" applyNumberFormat="1" applyFont="1" applyFill="1" applyBorder="1" applyAlignment="1" applyProtection="1">
      <alignment horizontal="center" wrapText="1"/>
    </xf>
    <xf numFmtId="0" fontId="7" fillId="0" borderId="18" xfId="5" applyBorder="1" applyAlignment="1" applyProtection="1">
      <alignment horizontal="center" wrapText="1"/>
    </xf>
    <xf numFmtId="0" fontId="48" fillId="0" borderId="4" xfId="5" applyFont="1" applyBorder="1" applyAlignment="1" applyProtection="1">
      <alignment horizontal="center" wrapText="1"/>
    </xf>
    <xf numFmtId="0" fontId="7" fillId="0" borderId="19" xfId="5" applyBorder="1" applyAlignment="1" applyProtection="1">
      <alignment horizontal="center" wrapText="1"/>
    </xf>
    <xf numFmtId="0" fontId="11" fillId="0" borderId="15" xfId="0" applyFont="1" applyBorder="1" applyAlignment="1" applyProtection="1">
      <alignment horizontal="center" wrapText="1"/>
    </xf>
    <xf numFmtId="2" fontId="36" fillId="6" borderId="4" xfId="0" applyNumberFormat="1" applyFont="1" applyFill="1" applyBorder="1" applyAlignment="1" applyProtection="1">
      <alignment horizontal="center" wrapText="1"/>
    </xf>
    <xf numFmtId="164" fontId="37" fillId="6" borderId="4" xfId="0" applyNumberFormat="1" applyFont="1" applyFill="1" applyBorder="1" applyAlignment="1" applyProtection="1">
      <alignment horizontal="center" wrapText="1"/>
    </xf>
    <xf numFmtId="0" fontId="7" fillId="0" borderId="5" xfId="5" applyBorder="1" applyAlignment="1" applyProtection="1">
      <alignment wrapText="1"/>
    </xf>
    <xf numFmtId="0" fontId="11" fillId="0" borderId="21" xfId="0" applyFont="1" applyBorder="1" applyAlignment="1" applyProtection="1">
      <alignment wrapText="1"/>
    </xf>
    <xf numFmtId="0" fontId="7" fillId="0" borderId="21" xfId="5" applyBorder="1" applyAlignment="1" applyProtection="1">
      <alignment wrapText="1"/>
    </xf>
    <xf numFmtId="0" fontId="49" fillId="0" borderId="21" xfId="0" applyFont="1" applyBorder="1" applyAlignment="1" applyProtection="1">
      <alignment wrapText="1"/>
    </xf>
    <xf numFmtId="0" fontId="11" fillId="0" borderId="25" xfId="0" applyFont="1" applyBorder="1" applyAlignment="1" applyProtection="1">
      <alignment wrapText="1"/>
    </xf>
    <xf numFmtId="0" fontId="7" fillId="0" borderId="6" xfId="5" applyBorder="1" applyAlignment="1" applyProtection="1">
      <alignment wrapText="1"/>
    </xf>
    <xf numFmtId="0" fontId="11" fillId="0" borderId="13" xfId="0" applyFont="1" applyBorder="1" applyAlignment="1" applyProtection="1">
      <alignment wrapText="1"/>
    </xf>
    <xf numFmtId="0" fontId="12" fillId="0" borderId="13" xfId="0" applyFont="1" applyBorder="1" applyAlignment="1" applyProtection="1">
      <alignment wrapText="1"/>
    </xf>
    <xf numFmtId="0" fontId="49" fillId="0" borderId="16" xfId="0" applyFont="1" applyBorder="1" applyAlignment="1" applyProtection="1">
      <alignment wrapText="1"/>
    </xf>
    <xf numFmtId="0" fontId="11" fillId="0" borderId="34" xfId="0" applyFont="1" applyBorder="1" applyAlignment="1" applyProtection="1">
      <alignment wrapText="1"/>
    </xf>
    <xf numFmtId="0" fontId="7" fillId="0" borderId="12" xfId="5" applyBorder="1" applyAlignment="1" applyProtection="1">
      <alignment wrapText="1"/>
    </xf>
    <xf numFmtId="0" fontId="12" fillId="0" borderId="34" xfId="0" applyFont="1" applyBorder="1" applyAlignment="1" applyProtection="1">
      <alignment wrapText="1"/>
    </xf>
    <xf numFmtId="0" fontId="12" fillId="0" borderId="53" xfId="0" applyFont="1" applyBorder="1" applyAlignment="1" applyProtection="1">
      <alignment wrapText="1"/>
    </xf>
    <xf numFmtId="0" fontId="4" fillId="0" borderId="0" xfId="2" applyBorder="1" applyProtection="1"/>
    <xf numFmtId="0" fontId="11" fillId="0" borderId="55" xfId="0" applyFont="1" applyBorder="1" applyAlignment="1" applyProtection="1">
      <alignment wrapText="1"/>
    </xf>
    <xf numFmtId="0" fontId="12" fillId="0" borderId="55" xfId="0" applyFont="1" applyBorder="1" applyAlignment="1" applyProtection="1">
      <alignment wrapText="1"/>
    </xf>
    <xf numFmtId="0" fontId="11" fillId="0" borderId="20" xfId="0" applyFont="1" applyBorder="1" applyAlignment="1" applyProtection="1">
      <alignment wrapText="1"/>
    </xf>
    <xf numFmtId="0" fontId="0" fillId="0" borderId="55" xfId="0" applyBorder="1" applyProtection="1"/>
    <xf numFmtId="0" fontId="29" fillId="0" borderId="50" xfId="5" applyFont="1" applyBorder="1" applyAlignment="1" applyProtection="1">
      <alignment horizontal="center" vertical="center" wrapText="1"/>
    </xf>
    <xf numFmtId="0" fontId="7" fillId="0" borderId="50" xfId="5" applyBorder="1" applyAlignment="1" applyProtection="1">
      <alignment horizontal="center" wrapText="1"/>
    </xf>
    <xf numFmtId="2" fontId="6" fillId="3" borderId="60" xfId="4" applyNumberFormat="1" applyBorder="1" applyAlignment="1" applyProtection="1">
      <alignment horizontal="center"/>
    </xf>
    <xf numFmtId="0" fontId="37" fillId="0" borderId="55" xfId="5" applyFont="1" applyBorder="1" applyAlignment="1" applyProtection="1">
      <alignment horizontal="center" vertical="center" wrapText="1"/>
    </xf>
    <xf numFmtId="166" fontId="37" fillId="6" borderId="30" xfId="0" applyNumberFormat="1" applyFont="1" applyFill="1" applyBorder="1" applyAlignment="1" applyProtection="1">
      <alignment horizontal="center"/>
    </xf>
    <xf numFmtId="0" fontId="18" fillId="0" borderId="56" xfId="5" applyFont="1" applyBorder="1" applyAlignment="1" applyProtection="1">
      <alignment horizontal="center" wrapText="1"/>
    </xf>
    <xf numFmtId="0" fontId="59" fillId="0" borderId="56" xfId="5" applyFont="1" applyBorder="1" applyAlignment="1" applyProtection="1">
      <alignment horizontal="center" wrapText="1"/>
    </xf>
    <xf numFmtId="0" fontId="4" fillId="0" borderId="5" xfId="1" applyFont="1" applyBorder="1" applyAlignment="1" applyProtection="1">
      <alignment horizontal="left" vertical="center"/>
    </xf>
    <xf numFmtId="0" fontId="4" fillId="0" borderId="20" xfId="1" applyFont="1" applyBorder="1" applyAlignment="1" applyProtection="1">
      <alignment horizontal="left" vertical="center"/>
    </xf>
    <xf numFmtId="0" fontId="4" fillId="0" borderId="6" xfId="1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wrapText="1"/>
    </xf>
    <xf numFmtId="0" fontId="7" fillId="0" borderId="7" xfId="5" applyBorder="1" applyAlignment="1" applyProtection="1">
      <alignment horizontal="center" wrapText="1"/>
    </xf>
    <xf numFmtId="165" fontId="6" fillId="3" borderId="8" xfId="4" applyNumberFormat="1" applyBorder="1" applyAlignment="1" applyProtection="1">
      <alignment horizontal="center"/>
    </xf>
    <xf numFmtId="0" fontId="2" fillId="0" borderId="15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166" fontId="6" fillId="3" borderId="8" xfId="4" applyNumberFormat="1" applyBorder="1" applyAlignment="1" applyProtection="1">
      <alignment horizontal="center"/>
    </xf>
    <xf numFmtId="0" fontId="12" fillId="0" borderId="15" xfId="0" applyFont="1" applyBorder="1" applyAlignment="1" applyProtection="1">
      <alignment horizontal="left" vertical="top" wrapText="1"/>
    </xf>
    <xf numFmtId="0" fontId="6" fillId="3" borderId="8" xfId="4" applyBorder="1" applyAlignment="1" applyProtection="1">
      <alignment horizontal="center"/>
    </xf>
    <xf numFmtId="0" fontId="7" fillId="0" borderId="9" xfId="5" applyBorder="1" applyAlignment="1" applyProtection="1">
      <alignment horizontal="center" wrapText="1"/>
    </xf>
    <xf numFmtId="165" fontId="6" fillId="3" borderId="11" xfId="4" applyNumberFormat="1" applyBorder="1" applyAlignment="1" applyProtection="1">
      <alignment horizontal="center"/>
    </xf>
  </cellXfs>
  <cellStyles count="6">
    <cellStyle name="Explanatory Text" xfId="5" builtinId="53"/>
    <cellStyle name="Heading 1" xfId="2" builtinId="16"/>
    <cellStyle name="Input" xfId="3" builtinId="20"/>
    <cellStyle name="Normal" xfId="0" builtinId="0"/>
    <cellStyle name="Output" xfId="4" builtinId="21"/>
    <cellStyle name="Title" xfId="1" builtinId="15"/>
  </cellStyles>
  <dxfs count="0"/>
  <tableStyles count="0" defaultTableStyle="TableStyleMedium2" defaultPivotStyle="PivotStyleLight16"/>
  <colors>
    <mruColors>
      <color rgb="FFCFE1FF"/>
      <color rgb="FFBFC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5.png"/><Relationship Id="rId3" Type="http://schemas.openxmlformats.org/officeDocument/2006/relationships/image" Target="../media/image20.png"/><Relationship Id="rId7" Type="http://schemas.openxmlformats.org/officeDocument/2006/relationships/image" Target="../media/image7.png"/><Relationship Id="rId12" Type="http://schemas.openxmlformats.org/officeDocument/2006/relationships/image" Target="../media/image14.png"/><Relationship Id="rId2" Type="http://schemas.openxmlformats.org/officeDocument/2006/relationships/image" Target="../media/image19.png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4.png"/><Relationship Id="rId10" Type="http://schemas.openxmlformats.org/officeDocument/2006/relationships/image" Target="../media/image10.png"/><Relationship Id="rId4" Type="http://schemas.openxmlformats.org/officeDocument/2006/relationships/image" Target="../media/image5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6.png"/><Relationship Id="rId3" Type="http://schemas.openxmlformats.org/officeDocument/2006/relationships/image" Target="../media/image5.png"/><Relationship Id="rId7" Type="http://schemas.openxmlformats.org/officeDocument/2006/relationships/image" Target="../media/image8.png"/><Relationship Id="rId12" Type="http://schemas.openxmlformats.org/officeDocument/2006/relationships/image" Target="../media/image15.png"/><Relationship Id="rId2" Type="http://schemas.openxmlformats.org/officeDocument/2006/relationships/image" Target="../media/image2.png"/><Relationship Id="rId1" Type="http://schemas.openxmlformats.org/officeDocument/2006/relationships/image" Target="../media/image19.png"/><Relationship Id="rId6" Type="http://schemas.openxmlformats.org/officeDocument/2006/relationships/image" Target="../media/image7.png"/><Relationship Id="rId11" Type="http://schemas.openxmlformats.org/officeDocument/2006/relationships/image" Target="../media/image14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4.png"/><Relationship Id="rId9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6.png"/><Relationship Id="rId5" Type="http://schemas.openxmlformats.org/officeDocument/2006/relationships/image" Target="../media/image15.png"/><Relationship Id="rId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533400</xdr:colOff>
      <xdr:row>2</xdr:row>
      <xdr:rowOff>0</xdr:rowOff>
    </xdr:to>
    <xdr:pic>
      <xdr:nvPicPr>
        <xdr:cNvPr id="2" name="Picture 1" descr="page3image9384640">
          <a:extLst>
            <a:ext uri="{FF2B5EF4-FFF2-40B4-BE49-F238E27FC236}">
              <a16:creationId xmlns:a16="http://schemas.microsoft.com/office/drawing/2014/main" id="{086E23A2-F2DB-6840-B72E-67B77C5D8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406400"/>
          <a:ext cx="5334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211666</xdr:rowOff>
    </xdr:from>
    <xdr:to>
      <xdr:col>4</xdr:col>
      <xdr:colOff>533400</xdr:colOff>
      <xdr:row>10</xdr:row>
      <xdr:rowOff>846</xdr:rowOff>
    </xdr:to>
    <xdr:pic>
      <xdr:nvPicPr>
        <xdr:cNvPr id="4" name="Picture 3" descr="page3image9061920">
          <a:extLst>
            <a:ext uri="{FF2B5EF4-FFF2-40B4-BE49-F238E27FC236}">
              <a16:creationId xmlns:a16="http://schemas.microsoft.com/office/drawing/2014/main" id="{DE21333D-563A-044C-BAD7-2DAC668B7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2641600"/>
          <a:ext cx="5334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12700</xdr:colOff>
      <xdr:row>14</xdr:row>
      <xdr:rowOff>12700</xdr:rowOff>
    </xdr:to>
    <xdr:pic>
      <xdr:nvPicPr>
        <xdr:cNvPr id="6" name="Picture 5" descr="page3image24071168">
          <a:extLst>
            <a:ext uri="{FF2B5EF4-FFF2-40B4-BE49-F238E27FC236}">
              <a16:creationId xmlns:a16="http://schemas.microsoft.com/office/drawing/2014/main" id="{5FB3120D-4EE6-594C-AFCD-EC6771B9F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406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12700</xdr:colOff>
      <xdr:row>14</xdr:row>
      <xdr:rowOff>12700</xdr:rowOff>
    </xdr:to>
    <xdr:pic>
      <xdr:nvPicPr>
        <xdr:cNvPr id="7" name="Picture 6" descr="page3image24076352">
          <a:extLst>
            <a:ext uri="{FF2B5EF4-FFF2-40B4-BE49-F238E27FC236}">
              <a16:creationId xmlns:a16="http://schemas.microsoft.com/office/drawing/2014/main" id="{3238BB73-59D7-7043-AB1C-16FC61F5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406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736600</xdr:colOff>
      <xdr:row>14</xdr:row>
      <xdr:rowOff>0</xdr:rowOff>
    </xdr:to>
    <xdr:pic>
      <xdr:nvPicPr>
        <xdr:cNvPr id="8" name="Picture 7" descr="page3image9334704">
          <a:extLst>
            <a:ext uri="{FF2B5EF4-FFF2-40B4-BE49-F238E27FC236}">
              <a16:creationId xmlns:a16="http://schemas.microsoft.com/office/drawing/2014/main" id="{D314F969-382E-474B-9396-7CC160FB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4267200"/>
          <a:ext cx="736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12700</xdr:colOff>
      <xdr:row>16</xdr:row>
      <xdr:rowOff>12700</xdr:rowOff>
    </xdr:to>
    <xdr:pic>
      <xdr:nvPicPr>
        <xdr:cNvPr id="9" name="Picture 8" descr="page3image23706432">
          <a:extLst>
            <a:ext uri="{FF2B5EF4-FFF2-40B4-BE49-F238E27FC236}">
              <a16:creationId xmlns:a16="http://schemas.microsoft.com/office/drawing/2014/main" id="{935E129C-49B0-3047-A165-C219F6DE4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5080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12700</xdr:colOff>
      <xdr:row>20</xdr:row>
      <xdr:rowOff>12700</xdr:rowOff>
    </xdr:to>
    <xdr:pic>
      <xdr:nvPicPr>
        <xdr:cNvPr id="10" name="Picture 9" descr="page3image23695296">
          <a:extLst>
            <a:ext uri="{FF2B5EF4-FFF2-40B4-BE49-F238E27FC236}">
              <a16:creationId xmlns:a16="http://schemas.microsoft.com/office/drawing/2014/main" id="{66B653FB-A7BB-0A46-824D-46AF5A5D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5892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12700</xdr:colOff>
      <xdr:row>16</xdr:row>
      <xdr:rowOff>12700</xdr:rowOff>
    </xdr:to>
    <xdr:pic>
      <xdr:nvPicPr>
        <xdr:cNvPr id="11" name="Picture 10" descr="page3image23732288">
          <a:extLst>
            <a:ext uri="{FF2B5EF4-FFF2-40B4-BE49-F238E27FC236}">
              <a16:creationId xmlns:a16="http://schemas.microsoft.com/office/drawing/2014/main" id="{303BE63C-5E7B-A840-8EE6-A8B85577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5080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12700</xdr:colOff>
      <xdr:row>22</xdr:row>
      <xdr:rowOff>12700</xdr:rowOff>
    </xdr:to>
    <xdr:pic>
      <xdr:nvPicPr>
        <xdr:cNvPr id="12" name="Picture 11" descr="page3image23761792">
          <a:extLst>
            <a:ext uri="{FF2B5EF4-FFF2-40B4-BE49-F238E27FC236}">
              <a16:creationId xmlns:a16="http://schemas.microsoft.com/office/drawing/2014/main" id="{7FB1A5F0-ECE7-3C43-9251-B80BDE761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5892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736600</xdr:colOff>
      <xdr:row>18</xdr:row>
      <xdr:rowOff>0</xdr:rowOff>
    </xdr:to>
    <xdr:pic>
      <xdr:nvPicPr>
        <xdr:cNvPr id="13" name="Picture 12" descr="page3image9213296">
          <a:extLst>
            <a:ext uri="{FF2B5EF4-FFF2-40B4-BE49-F238E27FC236}">
              <a16:creationId xmlns:a16="http://schemas.microsoft.com/office/drawing/2014/main" id="{8D74336E-E3DC-E744-9B76-3F137FD28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5080000"/>
          <a:ext cx="736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584200</xdr:colOff>
      <xdr:row>20</xdr:row>
      <xdr:rowOff>0</xdr:rowOff>
    </xdr:to>
    <xdr:pic>
      <xdr:nvPicPr>
        <xdr:cNvPr id="14" name="Picture 13" descr="page4image8643552">
          <a:extLst>
            <a:ext uri="{FF2B5EF4-FFF2-40B4-BE49-F238E27FC236}">
              <a16:creationId xmlns:a16="http://schemas.microsoft.com/office/drawing/2014/main" id="{8591B412-ED0E-4846-84F1-79EA7A755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5245100"/>
          <a:ext cx="584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596900</xdr:colOff>
      <xdr:row>20</xdr:row>
      <xdr:rowOff>0</xdr:rowOff>
    </xdr:from>
    <xdr:to>
      <xdr:col>2</xdr:col>
      <xdr:colOff>609600</xdr:colOff>
      <xdr:row>20</xdr:row>
      <xdr:rowOff>12700</xdr:rowOff>
    </xdr:to>
    <xdr:pic>
      <xdr:nvPicPr>
        <xdr:cNvPr id="15" name="Picture 14" descr="page4image24049728">
          <a:extLst>
            <a:ext uri="{FF2B5EF4-FFF2-40B4-BE49-F238E27FC236}">
              <a16:creationId xmlns:a16="http://schemas.microsoft.com/office/drawing/2014/main" id="{1CEC5128-FD6C-E74F-8176-678C82E5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7600" y="524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584200</xdr:colOff>
      <xdr:row>22</xdr:row>
      <xdr:rowOff>0</xdr:rowOff>
    </xdr:to>
    <xdr:pic>
      <xdr:nvPicPr>
        <xdr:cNvPr id="16" name="Picture 15" descr="page4image8643104">
          <a:extLst>
            <a:ext uri="{FF2B5EF4-FFF2-40B4-BE49-F238E27FC236}">
              <a16:creationId xmlns:a16="http://schemas.microsoft.com/office/drawing/2014/main" id="{EE692891-B05A-C24D-9F84-4A9811F28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6057900"/>
          <a:ext cx="584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596900</xdr:colOff>
      <xdr:row>22</xdr:row>
      <xdr:rowOff>0</xdr:rowOff>
    </xdr:from>
    <xdr:to>
      <xdr:col>2</xdr:col>
      <xdr:colOff>609600</xdr:colOff>
      <xdr:row>22</xdr:row>
      <xdr:rowOff>12700</xdr:rowOff>
    </xdr:to>
    <xdr:pic>
      <xdr:nvPicPr>
        <xdr:cNvPr id="17" name="Picture 16" descr="page4image24103168">
          <a:extLst>
            <a:ext uri="{FF2B5EF4-FFF2-40B4-BE49-F238E27FC236}">
              <a16:creationId xmlns:a16="http://schemas.microsoft.com/office/drawing/2014/main" id="{AE370FDA-08AD-6140-BD9E-716DED98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7600" y="6057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12700</xdr:colOff>
      <xdr:row>20</xdr:row>
      <xdr:rowOff>12700</xdr:rowOff>
    </xdr:to>
    <xdr:pic>
      <xdr:nvPicPr>
        <xdr:cNvPr id="18" name="Picture 17" descr="page4image8635040">
          <a:extLst>
            <a:ext uri="{FF2B5EF4-FFF2-40B4-BE49-F238E27FC236}">
              <a16:creationId xmlns:a16="http://schemas.microsoft.com/office/drawing/2014/main" id="{B8813CCD-69F9-DF47-9892-07C7E9943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5245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12700</xdr:colOff>
      <xdr:row>22</xdr:row>
      <xdr:rowOff>12700</xdr:rowOff>
    </xdr:to>
    <xdr:pic>
      <xdr:nvPicPr>
        <xdr:cNvPr id="19" name="Picture 18" descr="page4image24114496">
          <a:extLst>
            <a:ext uri="{FF2B5EF4-FFF2-40B4-BE49-F238E27FC236}">
              <a16:creationId xmlns:a16="http://schemas.microsoft.com/office/drawing/2014/main" id="{2132AECA-B5B9-B14F-B9DE-37CC43BF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6057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317500</xdr:colOff>
      <xdr:row>22</xdr:row>
      <xdr:rowOff>0</xdr:rowOff>
    </xdr:to>
    <xdr:pic>
      <xdr:nvPicPr>
        <xdr:cNvPr id="20" name="Picture 19" descr="page4image24101056">
          <a:extLst>
            <a:ext uri="{FF2B5EF4-FFF2-40B4-BE49-F238E27FC236}">
              <a16:creationId xmlns:a16="http://schemas.microsoft.com/office/drawing/2014/main" id="{A54E1C10-C7E2-D449-9A3A-8D7C39524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6667500"/>
          <a:ext cx="317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330200</xdr:colOff>
      <xdr:row>22</xdr:row>
      <xdr:rowOff>0</xdr:rowOff>
    </xdr:from>
    <xdr:to>
      <xdr:col>1</xdr:col>
      <xdr:colOff>736600</xdr:colOff>
      <xdr:row>22</xdr:row>
      <xdr:rowOff>0</xdr:rowOff>
    </xdr:to>
    <xdr:pic>
      <xdr:nvPicPr>
        <xdr:cNvPr id="21" name="Picture 20" descr="page4image24111616">
          <a:extLst>
            <a:ext uri="{FF2B5EF4-FFF2-40B4-BE49-F238E27FC236}">
              <a16:creationId xmlns:a16="http://schemas.microsoft.com/office/drawing/2014/main" id="{F3C7E292-EE07-6D48-AC56-4AFD2F2EE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6667500"/>
          <a:ext cx="4064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584200</xdr:colOff>
      <xdr:row>24</xdr:row>
      <xdr:rowOff>0</xdr:rowOff>
    </xdr:to>
    <xdr:pic>
      <xdr:nvPicPr>
        <xdr:cNvPr id="22" name="Picture 21" descr="page4image8627504">
          <a:extLst>
            <a:ext uri="{FF2B5EF4-FFF2-40B4-BE49-F238E27FC236}">
              <a16:creationId xmlns:a16="http://schemas.microsoft.com/office/drawing/2014/main" id="{87504E3D-0BDD-A644-88C8-9F000C7AB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6667500"/>
          <a:ext cx="584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596900</xdr:colOff>
      <xdr:row>24</xdr:row>
      <xdr:rowOff>0</xdr:rowOff>
    </xdr:from>
    <xdr:to>
      <xdr:col>2</xdr:col>
      <xdr:colOff>609600</xdr:colOff>
      <xdr:row>24</xdr:row>
      <xdr:rowOff>12700</xdr:rowOff>
    </xdr:to>
    <xdr:pic>
      <xdr:nvPicPr>
        <xdr:cNvPr id="23" name="Picture 22" descr="page4image24113344">
          <a:extLst>
            <a:ext uri="{FF2B5EF4-FFF2-40B4-BE49-F238E27FC236}">
              <a16:creationId xmlns:a16="http://schemas.microsoft.com/office/drawing/2014/main" id="{1A80812D-F1C0-5E48-BD42-5D3A88054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7600" y="6667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444500</xdr:colOff>
      <xdr:row>24</xdr:row>
      <xdr:rowOff>0</xdr:rowOff>
    </xdr:to>
    <xdr:pic>
      <xdr:nvPicPr>
        <xdr:cNvPr id="24" name="Picture 23" descr="page4image24102976">
          <a:extLst>
            <a:ext uri="{FF2B5EF4-FFF2-40B4-BE49-F238E27FC236}">
              <a16:creationId xmlns:a16="http://schemas.microsoft.com/office/drawing/2014/main" id="{9F5F6140-B9BF-A040-96A2-84E2FC29F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6667500"/>
          <a:ext cx="444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457200</xdr:colOff>
      <xdr:row>24</xdr:row>
      <xdr:rowOff>0</xdr:rowOff>
    </xdr:from>
    <xdr:to>
      <xdr:col>3</xdr:col>
      <xdr:colOff>609600</xdr:colOff>
      <xdr:row>24</xdr:row>
      <xdr:rowOff>0</xdr:rowOff>
    </xdr:to>
    <xdr:pic>
      <xdr:nvPicPr>
        <xdr:cNvPr id="25" name="Picture 24" descr="page4image24114880">
          <a:extLst>
            <a:ext uri="{FF2B5EF4-FFF2-40B4-BE49-F238E27FC236}">
              <a16:creationId xmlns:a16="http://schemas.microsoft.com/office/drawing/2014/main" id="{6694127A-BE3D-6043-8386-001E44806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1700" y="6667500"/>
          <a:ext cx="1524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12700</xdr:colOff>
      <xdr:row>24</xdr:row>
      <xdr:rowOff>12700</xdr:rowOff>
    </xdr:to>
    <xdr:pic>
      <xdr:nvPicPr>
        <xdr:cNvPr id="26" name="Picture 25" descr="page4image24096960">
          <a:extLst>
            <a:ext uri="{FF2B5EF4-FFF2-40B4-BE49-F238E27FC236}">
              <a16:creationId xmlns:a16="http://schemas.microsoft.com/office/drawing/2014/main" id="{AF3C5ABE-5EB0-6340-9A59-9687F8A4B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7480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317500</xdr:colOff>
      <xdr:row>23</xdr:row>
      <xdr:rowOff>0</xdr:rowOff>
    </xdr:to>
    <xdr:pic>
      <xdr:nvPicPr>
        <xdr:cNvPr id="27" name="Picture 26" descr="page4image24090432">
          <a:extLst>
            <a:ext uri="{FF2B5EF4-FFF2-40B4-BE49-F238E27FC236}">
              <a16:creationId xmlns:a16="http://schemas.microsoft.com/office/drawing/2014/main" id="{41DF623C-28EF-7040-931F-5D6152508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9131300"/>
          <a:ext cx="317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254000</xdr:colOff>
      <xdr:row>26</xdr:row>
      <xdr:rowOff>0</xdr:rowOff>
    </xdr:to>
    <xdr:pic>
      <xdr:nvPicPr>
        <xdr:cNvPr id="28" name="Picture 27" descr="page4image23708032">
          <a:extLst>
            <a:ext uri="{FF2B5EF4-FFF2-40B4-BE49-F238E27FC236}">
              <a16:creationId xmlns:a16="http://schemas.microsoft.com/office/drawing/2014/main" id="{240781CD-8D80-794A-ACF3-93A481011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318500"/>
          <a:ext cx="254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266700</xdr:colOff>
      <xdr:row>26</xdr:row>
      <xdr:rowOff>0</xdr:rowOff>
    </xdr:from>
    <xdr:to>
      <xdr:col>1</xdr:col>
      <xdr:colOff>431800</xdr:colOff>
      <xdr:row>26</xdr:row>
      <xdr:rowOff>0</xdr:rowOff>
    </xdr:to>
    <xdr:pic>
      <xdr:nvPicPr>
        <xdr:cNvPr id="29" name="Picture 28" descr="page4image23721472">
          <a:extLst>
            <a:ext uri="{FF2B5EF4-FFF2-40B4-BE49-F238E27FC236}">
              <a16:creationId xmlns:a16="http://schemas.microsoft.com/office/drawing/2014/main" id="{7B5C153D-CE5D-4140-96E4-90DDB2BD5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1200" y="8318500"/>
          <a:ext cx="165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317500</xdr:colOff>
      <xdr:row>23</xdr:row>
      <xdr:rowOff>0</xdr:rowOff>
    </xdr:to>
    <xdr:pic>
      <xdr:nvPicPr>
        <xdr:cNvPr id="30" name="Picture 29" descr="page4image24093312">
          <a:extLst>
            <a:ext uri="{FF2B5EF4-FFF2-40B4-BE49-F238E27FC236}">
              <a16:creationId xmlns:a16="http://schemas.microsoft.com/office/drawing/2014/main" id="{8A1F5439-BACF-AC44-8F73-A702BCA14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10756900"/>
          <a:ext cx="317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330200</xdr:colOff>
      <xdr:row>23</xdr:row>
      <xdr:rowOff>0</xdr:rowOff>
    </xdr:from>
    <xdr:to>
      <xdr:col>1</xdr:col>
      <xdr:colOff>736600</xdr:colOff>
      <xdr:row>23</xdr:row>
      <xdr:rowOff>0</xdr:rowOff>
    </xdr:to>
    <xdr:pic>
      <xdr:nvPicPr>
        <xdr:cNvPr id="31" name="Picture 30" descr="page4image24092736">
          <a:extLst>
            <a:ext uri="{FF2B5EF4-FFF2-40B4-BE49-F238E27FC236}">
              <a16:creationId xmlns:a16="http://schemas.microsoft.com/office/drawing/2014/main" id="{711C90C5-0D64-1040-A1D4-F02A7CB59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0756900"/>
          <a:ext cx="4064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749300</xdr:colOff>
      <xdr:row>23</xdr:row>
      <xdr:rowOff>0</xdr:rowOff>
    </xdr:from>
    <xdr:to>
      <xdr:col>1</xdr:col>
      <xdr:colOff>909342</xdr:colOff>
      <xdr:row>23</xdr:row>
      <xdr:rowOff>0</xdr:rowOff>
    </xdr:to>
    <xdr:pic>
      <xdr:nvPicPr>
        <xdr:cNvPr id="32" name="Picture 31" descr="page4image24093696">
          <a:extLst>
            <a:ext uri="{FF2B5EF4-FFF2-40B4-BE49-F238E27FC236}">
              <a16:creationId xmlns:a16="http://schemas.microsoft.com/office/drawing/2014/main" id="{68A9D40A-B4D0-7343-939A-AA4CA1EA7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0756900"/>
          <a:ext cx="165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584200</xdr:colOff>
      <xdr:row>26</xdr:row>
      <xdr:rowOff>0</xdr:rowOff>
    </xdr:to>
    <xdr:pic>
      <xdr:nvPicPr>
        <xdr:cNvPr id="33" name="Picture 32" descr="page4image8557600">
          <a:extLst>
            <a:ext uri="{FF2B5EF4-FFF2-40B4-BE49-F238E27FC236}">
              <a16:creationId xmlns:a16="http://schemas.microsoft.com/office/drawing/2014/main" id="{09FF6BD7-B210-C246-9859-844C6D161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9944100"/>
          <a:ext cx="584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596900</xdr:colOff>
      <xdr:row>23</xdr:row>
      <xdr:rowOff>0</xdr:rowOff>
    </xdr:from>
    <xdr:to>
      <xdr:col>2</xdr:col>
      <xdr:colOff>609600</xdr:colOff>
      <xdr:row>23</xdr:row>
      <xdr:rowOff>12700</xdr:rowOff>
    </xdr:to>
    <xdr:pic>
      <xdr:nvPicPr>
        <xdr:cNvPr id="34" name="Picture 33" descr="page4image24098688">
          <a:extLst>
            <a:ext uri="{FF2B5EF4-FFF2-40B4-BE49-F238E27FC236}">
              <a16:creationId xmlns:a16="http://schemas.microsoft.com/office/drawing/2014/main" id="{F66070EA-369A-9B43-97B4-2068913FD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7600" y="9944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12700</xdr:colOff>
      <xdr:row>23</xdr:row>
      <xdr:rowOff>12700</xdr:rowOff>
    </xdr:to>
    <xdr:pic>
      <xdr:nvPicPr>
        <xdr:cNvPr id="35" name="Picture 34" descr="page4image24100608">
          <a:extLst>
            <a:ext uri="{FF2B5EF4-FFF2-40B4-BE49-F238E27FC236}">
              <a16:creationId xmlns:a16="http://schemas.microsoft.com/office/drawing/2014/main" id="{5A283FED-969D-314E-B4CE-D2DB86D08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9944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406400</xdr:colOff>
      <xdr:row>26</xdr:row>
      <xdr:rowOff>0</xdr:rowOff>
    </xdr:to>
    <xdr:pic>
      <xdr:nvPicPr>
        <xdr:cNvPr id="36" name="Picture 35" descr="page4image24091200">
          <a:extLst>
            <a:ext uri="{FF2B5EF4-FFF2-40B4-BE49-F238E27FC236}">
              <a16:creationId xmlns:a16="http://schemas.microsoft.com/office/drawing/2014/main" id="{DB46DA08-2BB6-6343-A9EC-E4BE6FF6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10756900"/>
          <a:ext cx="4064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165100</xdr:colOff>
      <xdr:row>29</xdr:row>
      <xdr:rowOff>0</xdr:rowOff>
    </xdr:to>
    <xdr:pic>
      <xdr:nvPicPr>
        <xdr:cNvPr id="37" name="Picture 36" descr="page4image23620864">
          <a:extLst>
            <a:ext uri="{FF2B5EF4-FFF2-40B4-BE49-F238E27FC236}">
              <a16:creationId xmlns:a16="http://schemas.microsoft.com/office/drawing/2014/main" id="{3BD668CB-F368-2C4D-9BE0-6027A75A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11366500"/>
          <a:ext cx="165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22</xdr:row>
      <xdr:rowOff>0</xdr:rowOff>
    </xdr:from>
    <xdr:ext cx="12700" cy="12700"/>
    <xdr:pic>
      <xdr:nvPicPr>
        <xdr:cNvPr id="38" name="Picture 37" descr="page4image24114496">
          <a:extLst>
            <a:ext uri="{FF2B5EF4-FFF2-40B4-BE49-F238E27FC236}">
              <a16:creationId xmlns:a16="http://schemas.microsoft.com/office/drawing/2014/main" id="{AE51C1F9-6AE2-9D4B-9E6D-E99B9B145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9700" y="6146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5</xdr:col>
      <xdr:colOff>12700</xdr:colOff>
      <xdr:row>2</xdr:row>
      <xdr:rowOff>12700</xdr:rowOff>
    </xdr:to>
    <xdr:pic>
      <xdr:nvPicPr>
        <xdr:cNvPr id="2" name="Picture 1" descr="page5image24003520">
          <a:extLst>
            <a:ext uri="{FF2B5EF4-FFF2-40B4-BE49-F238E27FC236}">
              <a16:creationId xmlns:a16="http://schemas.microsoft.com/office/drawing/2014/main" id="{52B6EEB5-A99B-B744-BE2F-B9DAD558F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406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0</xdr:colOff>
      <xdr:row>3</xdr:row>
      <xdr:rowOff>165100</xdr:rowOff>
    </xdr:to>
    <xdr:pic>
      <xdr:nvPicPr>
        <xdr:cNvPr id="4" name="Picture 3" descr="page5image8464672">
          <a:extLst>
            <a:ext uri="{FF2B5EF4-FFF2-40B4-BE49-F238E27FC236}">
              <a16:creationId xmlns:a16="http://schemas.microsoft.com/office/drawing/2014/main" id="{722CC482-30BC-784A-9745-A48191995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219200"/>
          <a:ext cx="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0</xdr:colOff>
      <xdr:row>3</xdr:row>
      <xdr:rowOff>165100</xdr:rowOff>
    </xdr:to>
    <xdr:pic>
      <xdr:nvPicPr>
        <xdr:cNvPr id="5" name="Picture 4" descr="page5image8462768">
          <a:extLst>
            <a:ext uri="{FF2B5EF4-FFF2-40B4-BE49-F238E27FC236}">
              <a16:creationId xmlns:a16="http://schemas.microsoft.com/office/drawing/2014/main" id="{20A011EF-1561-CE4E-993C-4B1D64182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219200"/>
          <a:ext cx="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12700</xdr:colOff>
      <xdr:row>3</xdr:row>
      <xdr:rowOff>12700</xdr:rowOff>
    </xdr:to>
    <xdr:pic>
      <xdr:nvPicPr>
        <xdr:cNvPr id="6" name="Picture 5" descr="page5image23999808">
          <a:extLst>
            <a:ext uri="{FF2B5EF4-FFF2-40B4-BE49-F238E27FC236}">
              <a16:creationId xmlns:a16="http://schemas.microsoft.com/office/drawing/2014/main" id="{E24C2108-FF15-AF47-BB7C-6423FAFB7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1219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25400</xdr:colOff>
      <xdr:row>3</xdr:row>
      <xdr:rowOff>0</xdr:rowOff>
    </xdr:from>
    <xdr:to>
      <xdr:col>5</xdr:col>
      <xdr:colOff>25400</xdr:colOff>
      <xdr:row>3</xdr:row>
      <xdr:rowOff>165100</xdr:rowOff>
    </xdr:to>
    <xdr:pic>
      <xdr:nvPicPr>
        <xdr:cNvPr id="7" name="Picture 6" descr="page5image8466800">
          <a:extLst>
            <a:ext uri="{FF2B5EF4-FFF2-40B4-BE49-F238E27FC236}">
              <a16:creationId xmlns:a16="http://schemas.microsoft.com/office/drawing/2014/main" id="{1BFD0F73-9E71-D942-BF15-7E1ABF5F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219200"/>
          <a:ext cx="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0</xdr:colOff>
      <xdr:row>3</xdr:row>
      <xdr:rowOff>165100</xdr:rowOff>
    </xdr:to>
    <xdr:pic>
      <xdr:nvPicPr>
        <xdr:cNvPr id="8" name="Picture 7" descr="page5image8466016">
          <a:extLst>
            <a:ext uri="{FF2B5EF4-FFF2-40B4-BE49-F238E27FC236}">
              <a16:creationId xmlns:a16="http://schemas.microsoft.com/office/drawing/2014/main" id="{62FE0BE5-DF18-5945-9EA2-D7974C047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219200"/>
          <a:ext cx="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12700</xdr:colOff>
      <xdr:row>5</xdr:row>
      <xdr:rowOff>12700</xdr:rowOff>
    </xdr:to>
    <xdr:pic>
      <xdr:nvPicPr>
        <xdr:cNvPr id="12" name="Picture 11" descr="page5image23966464">
          <a:extLst>
            <a:ext uri="{FF2B5EF4-FFF2-40B4-BE49-F238E27FC236}">
              <a16:creationId xmlns:a16="http://schemas.microsoft.com/office/drawing/2014/main" id="{A372719C-0EE4-774B-8A9E-79406AB80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2641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457200</xdr:colOff>
      <xdr:row>5</xdr:row>
      <xdr:rowOff>0</xdr:rowOff>
    </xdr:to>
    <xdr:pic>
      <xdr:nvPicPr>
        <xdr:cNvPr id="13" name="Picture 12" descr="page5image8616608">
          <a:extLst>
            <a:ext uri="{FF2B5EF4-FFF2-40B4-BE49-F238E27FC236}">
              <a16:creationId xmlns:a16="http://schemas.microsoft.com/office/drawing/2014/main" id="{472FA389-AA76-EA4B-9E78-AAD1F5E3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2641600"/>
          <a:ext cx="457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12700</xdr:colOff>
      <xdr:row>8</xdr:row>
      <xdr:rowOff>12700</xdr:rowOff>
    </xdr:to>
    <xdr:pic>
      <xdr:nvPicPr>
        <xdr:cNvPr id="14" name="Picture 13" descr="page5image23965120">
          <a:extLst>
            <a:ext uri="{FF2B5EF4-FFF2-40B4-BE49-F238E27FC236}">
              <a16:creationId xmlns:a16="http://schemas.microsoft.com/office/drawing/2014/main" id="{8053C7E6-55C7-9A45-860C-90C5A964C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454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12700</xdr:colOff>
      <xdr:row>11</xdr:row>
      <xdr:rowOff>12700</xdr:rowOff>
    </xdr:to>
    <xdr:pic>
      <xdr:nvPicPr>
        <xdr:cNvPr id="15" name="Picture 14" descr="page5image24097728">
          <a:extLst>
            <a:ext uri="{FF2B5EF4-FFF2-40B4-BE49-F238E27FC236}">
              <a16:creationId xmlns:a16="http://schemas.microsoft.com/office/drawing/2014/main" id="{E59F0A50-4CFF-4C4E-AF38-F69598018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4267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457200</xdr:colOff>
      <xdr:row>8</xdr:row>
      <xdr:rowOff>0</xdr:rowOff>
    </xdr:to>
    <xdr:pic>
      <xdr:nvPicPr>
        <xdr:cNvPr id="16" name="Picture 15" descr="page5image8613584">
          <a:extLst>
            <a:ext uri="{FF2B5EF4-FFF2-40B4-BE49-F238E27FC236}">
              <a16:creationId xmlns:a16="http://schemas.microsoft.com/office/drawing/2014/main" id="{F7F18667-21B5-2247-9B70-7A0816AE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454400"/>
          <a:ext cx="457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12700</xdr:colOff>
      <xdr:row>11</xdr:row>
      <xdr:rowOff>12700</xdr:rowOff>
    </xdr:to>
    <xdr:pic>
      <xdr:nvPicPr>
        <xdr:cNvPr id="17" name="Picture 16" descr="page5image23979968">
          <a:extLst>
            <a:ext uri="{FF2B5EF4-FFF2-40B4-BE49-F238E27FC236}">
              <a16:creationId xmlns:a16="http://schemas.microsoft.com/office/drawing/2014/main" id="{F003CA9F-7F2F-E047-B566-5088492EC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4267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12700</xdr:colOff>
      <xdr:row>11</xdr:row>
      <xdr:rowOff>12700</xdr:rowOff>
    </xdr:to>
    <xdr:pic>
      <xdr:nvPicPr>
        <xdr:cNvPr id="56" name="Picture 55" descr="page3image23695296">
          <a:extLst>
            <a:ext uri="{FF2B5EF4-FFF2-40B4-BE49-F238E27FC236}">
              <a16:creationId xmlns:a16="http://schemas.microsoft.com/office/drawing/2014/main" id="{45F254CD-2311-264E-B0D3-B4DBF4DD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9700" y="5626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596900</xdr:colOff>
      <xdr:row>11</xdr:row>
      <xdr:rowOff>0</xdr:rowOff>
    </xdr:from>
    <xdr:to>
      <xdr:col>2</xdr:col>
      <xdr:colOff>609600</xdr:colOff>
      <xdr:row>11</xdr:row>
      <xdr:rowOff>12700</xdr:rowOff>
    </xdr:to>
    <xdr:pic>
      <xdr:nvPicPr>
        <xdr:cNvPr id="57" name="Picture 56" descr="page4image24049728">
          <a:extLst>
            <a:ext uri="{FF2B5EF4-FFF2-40B4-BE49-F238E27FC236}">
              <a16:creationId xmlns:a16="http://schemas.microsoft.com/office/drawing/2014/main" id="{9D6DC24B-C7FE-6740-A7E6-064771699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5626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584200</xdr:colOff>
      <xdr:row>13</xdr:row>
      <xdr:rowOff>0</xdr:rowOff>
    </xdr:to>
    <xdr:pic>
      <xdr:nvPicPr>
        <xdr:cNvPr id="58" name="Picture 57" descr="page4image8643104">
          <a:extLst>
            <a:ext uri="{FF2B5EF4-FFF2-40B4-BE49-F238E27FC236}">
              <a16:creationId xmlns:a16="http://schemas.microsoft.com/office/drawing/2014/main" id="{01D8AD1F-101F-354D-B743-E638B232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5900" y="6146800"/>
          <a:ext cx="584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596900</xdr:colOff>
      <xdr:row>13</xdr:row>
      <xdr:rowOff>0</xdr:rowOff>
    </xdr:from>
    <xdr:to>
      <xdr:col>2</xdr:col>
      <xdr:colOff>609600</xdr:colOff>
      <xdr:row>13</xdr:row>
      <xdr:rowOff>12700</xdr:rowOff>
    </xdr:to>
    <xdr:pic>
      <xdr:nvPicPr>
        <xdr:cNvPr id="59" name="Picture 58" descr="page4image24103168">
          <a:extLst>
            <a:ext uri="{FF2B5EF4-FFF2-40B4-BE49-F238E27FC236}">
              <a16:creationId xmlns:a16="http://schemas.microsoft.com/office/drawing/2014/main" id="{3D247647-D965-AF49-B5B2-6D34B95E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6146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12700</xdr:colOff>
      <xdr:row>11</xdr:row>
      <xdr:rowOff>12700</xdr:rowOff>
    </xdr:to>
    <xdr:pic>
      <xdr:nvPicPr>
        <xdr:cNvPr id="60" name="Picture 59" descr="page4image8635040">
          <a:extLst>
            <a:ext uri="{FF2B5EF4-FFF2-40B4-BE49-F238E27FC236}">
              <a16:creationId xmlns:a16="http://schemas.microsoft.com/office/drawing/2014/main" id="{46AEE413-B34A-1140-81C8-6509E8120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9700" y="5626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12700</xdr:colOff>
      <xdr:row>13</xdr:row>
      <xdr:rowOff>12700</xdr:rowOff>
    </xdr:to>
    <xdr:pic>
      <xdr:nvPicPr>
        <xdr:cNvPr id="61" name="Picture 60" descr="page4image24114496">
          <a:extLst>
            <a:ext uri="{FF2B5EF4-FFF2-40B4-BE49-F238E27FC236}">
              <a16:creationId xmlns:a16="http://schemas.microsoft.com/office/drawing/2014/main" id="{2772BE30-3D16-E347-9F52-ED3824B07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9700" y="6146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317500</xdr:colOff>
      <xdr:row>13</xdr:row>
      <xdr:rowOff>0</xdr:rowOff>
    </xdr:to>
    <xdr:pic>
      <xdr:nvPicPr>
        <xdr:cNvPr id="62" name="Picture 61" descr="page4image24101056">
          <a:extLst>
            <a:ext uri="{FF2B5EF4-FFF2-40B4-BE49-F238E27FC236}">
              <a16:creationId xmlns:a16="http://schemas.microsoft.com/office/drawing/2014/main" id="{C1613F70-DD93-174F-B859-D128E982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0" y="6146800"/>
          <a:ext cx="317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330200</xdr:colOff>
      <xdr:row>13</xdr:row>
      <xdr:rowOff>0</xdr:rowOff>
    </xdr:from>
    <xdr:to>
      <xdr:col>1</xdr:col>
      <xdr:colOff>736600</xdr:colOff>
      <xdr:row>13</xdr:row>
      <xdr:rowOff>0</xdr:rowOff>
    </xdr:to>
    <xdr:pic>
      <xdr:nvPicPr>
        <xdr:cNvPr id="63" name="Picture 62" descr="page4image24111616">
          <a:extLst>
            <a:ext uri="{FF2B5EF4-FFF2-40B4-BE49-F238E27FC236}">
              <a16:creationId xmlns:a16="http://schemas.microsoft.com/office/drawing/2014/main" id="{331A82B2-D40A-444D-84B4-FB549F4B7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200" y="6146800"/>
          <a:ext cx="4064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584200</xdr:colOff>
      <xdr:row>14</xdr:row>
      <xdr:rowOff>0</xdr:rowOff>
    </xdr:to>
    <xdr:pic>
      <xdr:nvPicPr>
        <xdr:cNvPr id="64" name="Picture 63" descr="page4image8627504">
          <a:extLst>
            <a:ext uri="{FF2B5EF4-FFF2-40B4-BE49-F238E27FC236}">
              <a16:creationId xmlns:a16="http://schemas.microsoft.com/office/drawing/2014/main" id="{BE8CD9B5-A89B-5841-864C-7D2DF5D92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5900" y="6794500"/>
          <a:ext cx="584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596900</xdr:colOff>
      <xdr:row>14</xdr:row>
      <xdr:rowOff>0</xdr:rowOff>
    </xdr:from>
    <xdr:to>
      <xdr:col>2</xdr:col>
      <xdr:colOff>609600</xdr:colOff>
      <xdr:row>14</xdr:row>
      <xdr:rowOff>12700</xdr:rowOff>
    </xdr:to>
    <xdr:pic>
      <xdr:nvPicPr>
        <xdr:cNvPr id="65" name="Picture 64" descr="page4image24113344">
          <a:extLst>
            <a:ext uri="{FF2B5EF4-FFF2-40B4-BE49-F238E27FC236}">
              <a16:creationId xmlns:a16="http://schemas.microsoft.com/office/drawing/2014/main" id="{8D8F3B8A-BE8A-6C41-A5A1-18ECEABED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6794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444500</xdr:colOff>
      <xdr:row>14</xdr:row>
      <xdr:rowOff>0</xdr:rowOff>
    </xdr:to>
    <xdr:pic>
      <xdr:nvPicPr>
        <xdr:cNvPr id="66" name="Picture 65" descr="page4image24102976">
          <a:extLst>
            <a:ext uri="{FF2B5EF4-FFF2-40B4-BE49-F238E27FC236}">
              <a16:creationId xmlns:a16="http://schemas.microsoft.com/office/drawing/2014/main" id="{F46F86AA-862C-6447-BE8A-F672FD15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9700" y="6794500"/>
          <a:ext cx="444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457200</xdr:colOff>
      <xdr:row>14</xdr:row>
      <xdr:rowOff>0</xdr:rowOff>
    </xdr:from>
    <xdr:to>
      <xdr:col>3</xdr:col>
      <xdr:colOff>609600</xdr:colOff>
      <xdr:row>14</xdr:row>
      <xdr:rowOff>0</xdr:rowOff>
    </xdr:to>
    <xdr:pic>
      <xdr:nvPicPr>
        <xdr:cNvPr id="67" name="Picture 66" descr="page4image24114880">
          <a:extLst>
            <a:ext uri="{FF2B5EF4-FFF2-40B4-BE49-F238E27FC236}">
              <a16:creationId xmlns:a16="http://schemas.microsoft.com/office/drawing/2014/main" id="{DF0FF493-F375-ED42-B7A4-C77B76604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6900" y="6794500"/>
          <a:ext cx="1524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12700</xdr:colOff>
      <xdr:row>14</xdr:row>
      <xdr:rowOff>12700</xdr:rowOff>
    </xdr:to>
    <xdr:pic>
      <xdr:nvPicPr>
        <xdr:cNvPr id="68" name="Picture 67" descr="page4image24096960">
          <a:extLst>
            <a:ext uri="{FF2B5EF4-FFF2-40B4-BE49-F238E27FC236}">
              <a16:creationId xmlns:a16="http://schemas.microsoft.com/office/drawing/2014/main" id="{B148E45C-A714-5D45-9FDA-A3A9633E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9700" y="6794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317500</xdr:colOff>
      <xdr:row>13</xdr:row>
      <xdr:rowOff>0</xdr:rowOff>
    </xdr:to>
    <xdr:pic>
      <xdr:nvPicPr>
        <xdr:cNvPr id="69" name="Picture 68" descr="page4image24090432">
          <a:extLst>
            <a:ext uri="{FF2B5EF4-FFF2-40B4-BE49-F238E27FC236}">
              <a16:creationId xmlns:a16="http://schemas.microsoft.com/office/drawing/2014/main" id="{1771C5E7-F666-2847-9063-A68465C6B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0" y="6591300"/>
          <a:ext cx="317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317500</xdr:colOff>
      <xdr:row>13</xdr:row>
      <xdr:rowOff>0</xdr:rowOff>
    </xdr:to>
    <xdr:pic>
      <xdr:nvPicPr>
        <xdr:cNvPr id="70" name="Picture 69" descr="page4image24093312">
          <a:extLst>
            <a:ext uri="{FF2B5EF4-FFF2-40B4-BE49-F238E27FC236}">
              <a16:creationId xmlns:a16="http://schemas.microsoft.com/office/drawing/2014/main" id="{63D3E60F-AFA3-624B-ADA2-34D41F01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0" y="6591300"/>
          <a:ext cx="317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330200</xdr:colOff>
      <xdr:row>13</xdr:row>
      <xdr:rowOff>0</xdr:rowOff>
    </xdr:from>
    <xdr:to>
      <xdr:col>1</xdr:col>
      <xdr:colOff>736600</xdr:colOff>
      <xdr:row>13</xdr:row>
      <xdr:rowOff>0</xdr:rowOff>
    </xdr:to>
    <xdr:pic>
      <xdr:nvPicPr>
        <xdr:cNvPr id="71" name="Picture 70" descr="page4image24092736">
          <a:extLst>
            <a:ext uri="{FF2B5EF4-FFF2-40B4-BE49-F238E27FC236}">
              <a16:creationId xmlns:a16="http://schemas.microsoft.com/office/drawing/2014/main" id="{0F40CB4D-277E-EB40-AA23-4088E4AB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200" y="6591300"/>
          <a:ext cx="4064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596900</xdr:colOff>
      <xdr:row>13</xdr:row>
      <xdr:rowOff>0</xdr:rowOff>
    </xdr:from>
    <xdr:to>
      <xdr:col>2</xdr:col>
      <xdr:colOff>609600</xdr:colOff>
      <xdr:row>13</xdr:row>
      <xdr:rowOff>12700</xdr:rowOff>
    </xdr:to>
    <xdr:pic>
      <xdr:nvPicPr>
        <xdr:cNvPr id="73" name="Picture 72" descr="page4image24098688">
          <a:extLst>
            <a:ext uri="{FF2B5EF4-FFF2-40B4-BE49-F238E27FC236}">
              <a16:creationId xmlns:a16="http://schemas.microsoft.com/office/drawing/2014/main" id="{081EBC18-0036-7F48-9D59-3AD78C885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6591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12700</xdr:colOff>
      <xdr:row>13</xdr:row>
      <xdr:rowOff>12700</xdr:rowOff>
    </xdr:to>
    <xdr:pic>
      <xdr:nvPicPr>
        <xdr:cNvPr id="74" name="Picture 73" descr="page4image24100608">
          <a:extLst>
            <a:ext uri="{FF2B5EF4-FFF2-40B4-BE49-F238E27FC236}">
              <a16:creationId xmlns:a16="http://schemas.microsoft.com/office/drawing/2014/main" id="{F6F5A429-FF50-8944-9DB6-57A33C21D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9700" y="6591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12700</xdr:colOff>
      <xdr:row>11</xdr:row>
      <xdr:rowOff>12700</xdr:rowOff>
    </xdr:to>
    <xdr:pic>
      <xdr:nvPicPr>
        <xdr:cNvPr id="75" name="Picture 74" descr="page3image23695296">
          <a:extLst>
            <a:ext uri="{FF2B5EF4-FFF2-40B4-BE49-F238E27FC236}">
              <a16:creationId xmlns:a16="http://schemas.microsoft.com/office/drawing/2014/main" id="{B9A4ABCA-4756-CB45-AA17-F8305EFA9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9700" y="5626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596900</xdr:colOff>
      <xdr:row>11</xdr:row>
      <xdr:rowOff>0</xdr:rowOff>
    </xdr:from>
    <xdr:to>
      <xdr:col>2</xdr:col>
      <xdr:colOff>609600</xdr:colOff>
      <xdr:row>11</xdr:row>
      <xdr:rowOff>12700</xdr:rowOff>
    </xdr:to>
    <xdr:pic>
      <xdr:nvPicPr>
        <xdr:cNvPr id="76" name="Picture 75" descr="page4image24049728">
          <a:extLst>
            <a:ext uri="{FF2B5EF4-FFF2-40B4-BE49-F238E27FC236}">
              <a16:creationId xmlns:a16="http://schemas.microsoft.com/office/drawing/2014/main" id="{79197B26-784E-7041-A7CD-673D5375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5626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584200</xdr:colOff>
      <xdr:row>13</xdr:row>
      <xdr:rowOff>0</xdr:rowOff>
    </xdr:to>
    <xdr:pic>
      <xdr:nvPicPr>
        <xdr:cNvPr id="77" name="Picture 76" descr="page4image8643104">
          <a:extLst>
            <a:ext uri="{FF2B5EF4-FFF2-40B4-BE49-F238E27FC236}">
              <a16:creationId xmlns:a16="http://schemas.microsoft.com/office/drawing/2014/main" id="{C0A38BEB-488A-6B49-9BC9-ECF51490B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5900" y="6146800"/>
          <a:ext cx="584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596900</xdr:colOff>
      <xdr:row>13</xdr:row>
      <xdr:rowOff>0</xdr:rowOff>
    </xdr:from>
    <xdr:to>
      <xdr:col>2</xdr:col>
      <xdr:colOff>609600</xdr:colOff>
      <xdr:row>13</xdr:row>
      <xdr:rowOff>12700</xdr:rowOff>
    </xdr:to>
    <xdr:pic>
      <xdr:nvPicPr>
        <xdr:cNvPr id="78" name="Picture 77" descr="page4image24103168">
          <a:extLst>
            <a:ext uri="{FF2B5EF4-FFF2-40B4-BE49-F238E27FC236}">
              <a16:creationId xmlns:a16="http://schemas.microsoft.com/office/drawing/2014/main" id="{64F8CDDC-95C6-BA4C-92BA-A58ACBA0E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6146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12700</xdr:colOff>
      <xdr:row>11</xdr:row>
      <xdr:rowOff>12700</xdr:rowOff>
    </xdr:to>
    <xdr:pic>
      <xdr:nvPicPr>
        <xdr:cNvPr id="79" name="Picture 78" descr="page4image8635040">
          <a:extLst>
            <a:ext uri="{FF2B5EF4-FFF2-40B4-BE49-F238E27FC236}">
              <a16:creationId xmlns:a16="http://schemas.microsoft.com/office/drawing/2014/main" id="{B55DCFAB-9B88-D545-9FFA-E9BEB7A1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9700" y="5626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12700</xdr:colOff>
      <xdr:row>13</xdr:row>
      <xdr:rowOff>12700</xdr:rowOff>
    </xdr:to>
    <xdr:pic>
      <xdr:nvPicPr>
        <xdr:cNvPr id="80" name="Picture 79" descr="page4image24114496">
          <a:extLst>
            <a:ext uri="{FF2B5EF4-FFF2-40B4-BE49-F238E27FC236}">
              <a16:creationId xmlns:a16="http://schemas.microsoft.com/office/drawing/2014/main" id="{2048B8A5-F2B6-E14F-ADE2-E27C73829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9700" y="6146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317500</xdr:colOff>
      <xdr:row>13</xdr:row>
      <xdr:rowOff>0</xdr:rowOff>
    </xdr:to>
    <xdr:pic>
      <xdr:nvPicPr>
        <xdr:cNvPr id="81" name="Picture 80" descr="page4image24101056">
          <a:extLst>
            <a:ext uri="{FF2B5EF4-FFF2-40B4-BE49-F238E27FC236}">
              <a16:creationId xmlns:a16="http://schemas.microsoft.com/office/drawing/2014/main" id="{2860AB46-5F59-1944-B774-BC3C48D6F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0" y="6146800"/>
          <a:ext cx="317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330200</xdr:colOff>
      <xdr:row>13</xdr:row>
      <xdr:rowOff>0</xdr:rowOff>
    </xdr:from>
    <xdr:to>
      <xdr:col>1</xdr:col>
      <xdr:colOff>736600</xdr:colOff>
      <xdr:row>13</xdr:row>
      <xdr:rowOff>0</xdr:rowOff>
    </xdr:to>
    <xdr:pic>
      <xdr:nvPicPr>
        <xdr:cNvPr id="82" name="Picture 81" descr="page4image24111616">
          <a:extLst>
            <a:ext uri="{FF2B5EF4-FFF2-40B4-BE49-F238E27FC236}">
              <a16:creationId xmlns:a16="http://schemas.microsoft.com/office/drawing/2014/main" id="{E612E78A-F8E9-5F4F-9513-8EB54CE0C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200" y="6146800"/>
          <a:ext cx="4064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584200</xdr:colOff>
      <xdr:row>12</xdr:row>
      <xdr:rowOff>0</xdr:rowOff>
    </xdr:to>
    <xdr:pic>
      <xdr:nvPicPr>
        <xdr:cNvPr id="83" name="Picture 82" descr="page4image8627504">
          <a:extLst>
            <a:ext uri="{FF2B5EF4-FFF2-40B4-BE49-F238E27FC236}">
              <a16:creationId xmlns:a16="http://schemas.microsoft.com/office/drawing/2014/main" id="{D16A0184-EB1A-954E-AC07-523879907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5900" y="6794500"/>
          <a:ext cx="584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596900</xdr:colOff>
      <xdr:row>13</xdr:row>
      <xdr:rowOff>0</xdr:rowOff>
    </xdr:from>
    <xdr:to>
      <xdr:col>2</xdr:col>
      <xdr:colOff>609600</xdr:colOff>
      <xdr:row>13</xdr:row>
      <xdr:rowOff>12700</xdr:rowOff>
    </xdr:to>
    <xdr:pic>
      <xdr:nvPicPr>
        <xdr:cNvPr id="84" name="Picture 83" descr="page4image24113344">
          <a:extLst>
            <a:ext uri="{FF2B5EF4-FFF2-40B4-BE49-F238E27FC236}">
              <a16:creationId xmlns:a16="http://schemas.microsoft.com/office/drawing/2014/main" id="{14ED75CA-8570-9046-9E2D-194D8EFF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6794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444500</xdr:colOff>
      <xdr:row>13</xdr:row>
      <xdr:rowOff>0</xdr:rowOff>
    </xdr:to>
    <xdr:pic>
      <xdr:nvPicPr>
        <xdr:cNvPr id="85" name="Picture 84" descr="page4image24102976">
          <a:extLst>
            <a:ext uri="{FF2B5EF4-FFF2-40B4-BE49-F238E27FC236}">
              <a16:creationId xmlns:a16="http://schemas.microsoft.com/office/drawing/2014/main" id="{5AB1951F-0385-4F4E-8344-F7A1B4731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9700" y="6794500"/>
          <a:ext cx="444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457200</xdr:colOff>
      <xdr:row>13</xdr:row>
      <xdr:rowOff>0</xdr:rowOff>
    </xdr:from>
    <xdr:to>
      <xdr:col>3</xdr:col>
      <xdr:colOff>609600</xdr:colOff>
      <xdr:row>13</xdr:row>
      <xdr:rowOff>0</xdr:rowOff>
    </xdr:to>
    <xdr:pic>
      <xdr:nvPicPr>
        <xdr:cNvPr id="86" name="Picture 85" descr="page4image24114880">
          <a:extLst>
            <a:ext uri="{FF2B5EF4-FFF2-40B4-BE49-F238E27FC236}">
              <a16:creationId xmlns:a16="http://schemas.microsoft.com/office/drawing/2014/main" id="{9A847474-F9B5-DC44-908E-217C1C5A2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6900" y="6794500"/>
          <a:ext cx="1524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12700</xdr:colOff>
      <xdr:row>14</xdr:row>
      <xdr:rowOff>12700</xdr:rowOff>
    </xdr:to>
    <xdr:pic>
      <xdr:nvPicPr>
        <xdr:cNvPr id="87" name="Picture 86" descr="page4image24096960">
          <a:extLst>
            <a:ext uri="{FF2B5EF4-FFF2-40B4-BE49-F238E27FC236}">
              <a16:creationId xmlns:a16="http://schemas.microsoft.com/office/drawing/2014/main" id="{79B61C44-51F1-4946-B8CC-B95B47DBB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9700" y="6794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317500</xdr:colOff>
      <xdr:row>13</xdr:row>
      <xdr:rowOff>0</xdr:rowOff>
    </xdr:to>
    <xdr:pic>
      <xdr:nvPicPr>
        <xdr:cNvPr id="88" name="Picture 87" descr="page4image24090432">
          <a:extLst>
            <a:ext uri="{FF2B5EF4-FFF2-40B4-BE49-F238E27FC236}">
              <a16:creationId xmlns:a16="http://schemas.microsoft.com/office/drawing/2014/main" id="{D1F71FA1-1ED9-0F46-B62B-B62A3C5BE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0" y="6591300"/>
          <a:ext cx="317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317500</xdr:colOff>
      <xdr:row>13</xdr:row>
      <xdr:rowOff>0</xdr:rowOff>
    </xdr:to>
    <xdr:pic>
      <xdr:nvPicPr>
        <xdr:cNvPr id="89" name="Picture 88" descr="page4image24093312">
          <a:extLst>
            <a:ext uri="{FF2B5EF4-FFF2-40B4-BE49-F238E27FC236}">
              <a16:creationId xmlns:a16="http://schemas.microsoft.com/office/drawing/2014/main" id="{13FF9671-0BB0-0A45-990A-19F34351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0" y="6591300"/>
          <a:ext cx="317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330200</xdr:colOff>
      <xdr:row>13</xdr:row>
      <xdr:rowOff>0</xdr:rowOff>
    </xdr:from>
    <xdr:to>
      <xdr:col>1</xdr:col>
      <xdr:colOff>736600</xdr:colOff>
      <xdr:row>13</xdr:row>
      <xdr:rowOff>0</xdr:rowOff>
    </xdr:to>
    <xdr:pic>
      <xdr:nvPicPr>
        <xdr:cNvPr id="90" name="Picture 89" descr="page4image24092736">
          <a:extLst>
            <a:ext uri="{FF2B5EF4-FFF2-40B4-BE49-F238E27FC236}">
              <a16:creationId xmlns:a16="http://schemas.microsoft.com/office/drawing/2014/main" id="{09EEDA18-92A5-2843-A82C-341BE9A5D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200" y="6591300"/>
          <a:ext cx="4064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596900</xdr:colOff>
      <xdr:row>13</xdr:row>
      <xdr:rowOff>0</xdr:rowOff>
    </xdr:from>
    <xdr:to>
      <xdr:col>2</xdr:col>
      <xdr:colOff>609600</xdr:colOff>
      <xdr:row>13</xdr:row>
      <xdr:rowOff>12700</xdr:rowOff>
    </xdr:to>
    <xdr:pic>
      <xdr:nvPicPr>
        <xdr:cNvPr id="92" name="Picture 91" descr="page4image24098688">
          <a:extLst>
            <a:ext uri="{FF2B5EF4-FFF2-40B4-BE49-F238E27FC236}">
              <a16:creationId xmlns:a16="http://schemas.microsoft.com/office/drawing/2014/main" id="{DB03E662-DF34-2745-BA24-513B9C87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6591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12700</xdr:colOff>
      <xdr:row>13</xdr:row>
      <xdr:rowOff>12700</xdr:rowOff>
    </xdr:to>
    <xdr:pic>
      <xdr:nvPicPr>
        <xdr:cNvPr id="93" name="Picture 92" descr="page4image24100608">
          <a:extLst>
            <a:ext uri="{FF2B5EF4-FFF2-40B4-BE49-F238E27FC236}">
              <a16:creationId xmlns:a16="http://schemas.microsoft.com/office/drawing/2014/main" id="{07B780B0-2F4D-7744-A543-DFC88CCEC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9700" y="6591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0</xdr:colOff>
      <xdr:row>2</xdr:row>
      <xdr:rowOff>165100</xdr:rowOff>
    </xdr:to>
    <xdr:pic>
      <xdr:nvPicPr>
        <xdr:cNvPr id="2" name="Picture 1" descr="page5image8464672">
          <a:extLst>
            <a:ext uri="{FF2B5EF4-FFF2-40B4-BE49-F238E27FC236}">
              <a16:creationId xmlns:a16="http://schemas.microsoft.com/office/drawing/2014/main" id="{0D44452D-4CB2-F341-93C4-E1A51F003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0600" y="673100"/>
          <a:ext cx="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0</xdr:colOff>
      <xdr:row>2</xdr:row>
      <xdr:rowOff>165100</xdr:rowOff>
    </xdr:to>
    <xdr:pic>
      <xdr:nvPicPr>
        <xdr:cNvPr id="3" name="Picture 2" descr="page5image8462768">
          <a:extLst>
            <a:ext uri="{FF2B5EF4-FFF2-40B4-BE49-F238E27FC236}">
              <a16:creationId xmlns:a16="http://schemas.microsoft.com/office/drawing/2014/main" id="{45B99F3D-EE59-9C4B-B2D3-2BE37219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4400" y="673100"/>
          <a:ext cx="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12700</xdr:colOff>
      <xdr:row>7</xdr:row>
      <xdr:rowOff>12700</xdr:rowOff>
    </xdr:to>
    <xdr:pic>
      <xdr:nvPicPr>
        <xdr:cNvPr id="4" name="Picture 3" descr="page5image23965120">
          <a:extLst>
            <a:ext uri="{FF2B5EF4-FFF2-40B4-BE49-F238E27FC236}">
              <a16:creationId xmlns:a16="http://schemas.microsoft.com/office/drawing/2014/main" id="{808C3B47-9830-114F-9184-BF1712099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1765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10</xdr:row>
      <xdr:rowOff>0</xdr:rowOff>
    </xdr:from>
    <xdr:ext cx="12700" cy="12700"/>
    <xdr:pic>
      <xdr:nvPicPr>
        <xdr:cNvPr id="6" name="Picture 5" descr="page5image23965120">
          <a:extLst>
            <a:ext uri="{FF2B5EF4-FFF2-40B4-BE49-F238E27FC236}">
              <a16:creationId xmlns:a16="http://schemas.microsoft.com/office/drawing/2014/main" id="{FB7CAFCC-9112-9041-B883-3A793DC6D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667" y="1545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12700" cy="12700"/>
    <xdr:pic>
      <xdr:nvPicPr>
        <xdr:cNvPr id="7" name="Picture 6" descr="page5image23965120">
          <a:extLst>
            <a:ext uri="{FF2B5EF4-FFF2-40B4-BE49-F238E27FC236}">
              <a16:creationId xmlns:a16="http://schemas.microsoft.com/office/drawing/2014/main" id="{C33A39BC-55F8-EA41-9F9D-5A0AC06B8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667" y="2169583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12700" cy="12700"/>
    <xdr:pic>
      <xdr:nvPicPr>
        <xdr:cNvPr id="8" name="Picture 7" descr="page5image23965120">
          <a:extLst>
            <a:ext uri="{FF2B5EF4-FFF2-40B4-BE49-F238E27FC236}">
              <a16:creationId xmlns:a16="http://schemas.microsoft.com/office/drawing/2014/main" id="{DC2F53A9-0AE8-F745-82E9-3612B644D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9583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12700" cy="12700"/>
    <xdr:pic>
      <xdr:nvPicPr>
        <xdr:cNvPr id="9" name="Picture 8" descr="page5image23965120">
          <a:extLst>
            <a:ext uri="{FF2B5EF4-FFF2-40B4-BE49-F238E27FC236}">
              <a16:creationId xmlns:a16="http://schemas.microsoft.com/office/drawing/2014/main" id="{373A8B64-1608-674C-9F49-35E6B65B3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9583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2700" cy="12700"/>
    <xdr:pic>
      <xdr:nvPicPr>
        <xdr:cNvPr id="10" name="Picture 9" descr="page5image23965120">
          <a:extLst>
            <a:ext uri="{FF2B5EF4-FFF2-40B4-BE49-F238E27FC236}">
              <a16:creationId xmlns:a16="http://schemas.microsoft.com/office/drawing/2014/main" id="{CEAC1D01-48CA-E142-9537-BFF152AA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9583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12700</xdr:colOff>
      <xdr:row>16</xdr:row>
      <xdr:rowOff>12700</xdr:rowOff>
    </xdr:to>
    <xdr:pic>
      <xdr:nvPicPr>
        <xdr:cNvPr id="11" name="Picture 10" descr="page5image24097728">
          <a:extLst>
            <a:ext uri="{FF2B5EF4-FFF2-40B4-BE49-F238E27FC236}">
              <a16:creationId xmlns:a16="http://schemas.microsoft.com/office/drawing/2014/main" id="{3C80235E-7997-9F46-AFAB-584117EE6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2400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12700</xdr:colOff>
      <xdr:row>16</xdr:row>
      <xdr:rowOff>12700</xdr:rowOff>
    </xdr:to>
    <xdr:pic>
      <xdr:nvPicPr>
        <xdr:cNvPr id="12" name="Picture 11" descr="page5image23979968">
          <a:extLst>
            <a:ext uri="{FF2B5EF4-FFF2-40B4-BE49-F238E27FC236}">
              <a16:creationId xmlns:a16="http://schemas.microsoft.com/office/drawing/2014/main" id="{6499A74D-46D4-D64B-908E-20A59009D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0600" y="2400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12700</xdr:colOff>
      <xdr:row>16</xdr:row>
      <xdr:rowOff>12700</xdr:rowOff>
    </xdr:to>
    <xdr:pic>
      <xdr:nvPicPr>
        <xdr:cNvPr id="13" name="Picture 12" descr="page3image23695296">
          <a:extLst>
            <a:ext uri="{FF2B5EF4-FFF2-40B4-BE49-F238E27FC236}">
              <a16:creationId xmlns:a16="http://schemas.microsoft.com/office/drawing/2014/main" id="{CDE9F929-25A7-2E4F-8464-D50F200BF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4400" y="2400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12700</xdr:colOff>
      <xdr:row>16</xdr:row>
      <xdr:rowOff>12700</xdr:rowOff>
    </xdr:to>
    <xdr:pic>
      <xdr:nvPicPr>
        <xdr:cNvPr id="14" name="Picture 13" descr="page4image24049728">
          <a:extLst>
            <a:ext uri="{FF2B5EF4-FFF2-40B4-BE49-F238E27FC236}">
              <a16:creationId xmlns:a16="http://schemas.microsoft.com/office/drawing/2014/main" id="{34D65C63-CEAB-EC49-94FC-0B26FA3DA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2400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584200</xdr:colOff>
      <xdr:row>18</xdr:row>
      <xdr:rowOff>0</xdr:rowOff>
    </xdr:to>
    <xdr:pic>
      <xdr:nvPicPr>
        <xdr:cNvPr id="15" name="Picture 14" descr="page4image8643104">
          <a:extLst>
            <a:ext uri="{FF2B5EF4-FFF2-40B4-BE49-F238E27FC236}">
              <a16:creationId xmlns:a16="http://schemas.microsoft.com/office/drawing/2014/main" id="{7E2CC233-BF21-7647-8231-4F3918EBD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0600" y="3136900"/>
          <a:ext cx="584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12700</xdr:colOff>
      <xdr:row>18</xdr:row>
      <xdr:rowOff>12700</xdr:rowOff>
    </xdr:to>
    <xdr:pic>
      <xdr:nvPicPr>
        <xdr:cNvPr id="16" name="Picture 15" descr="page4image24103168">
          <a:extLst>
            <a:ext uri="{FF2B5EF4-FFF2-40B4-BE49-F238E27FC236}">
              <a16:creationId xmlns:a16="http://schemas.microsoft.com/office/drawing/2014/main" id="{E68BA4DE-8A19-8943-8BAC-20019D33C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3136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12700</xdr:colOff>
      <xdr:row>16</xdr:row>
      <xdr:rowOff>12700</xdr:rowOff>
    </xdr:to>
    <xdr:pic>
      <xdr:nvPicPr>
        <xdr:cNvPr id="17" name="Picture 16" descr="page4image8635040">
          <a:extLst>
            <a:ext uri="{FF2B5EF4-FFF2-40B4-BE49-F238E27FC236}">
              <a16:creationId xmlns:a16="http://schemas.microsoft.com/office/drawing/2014/main" id="{E30DD2AF-00E0-0241-AADC-EA9705B12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4400" y="2400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12700</xdr:colOff>
      <xdr:row>18</xdr:row>
      <xdr:rowOff>12700</xdr:rowOff>
    </xdr:to>
    <xdr:pic>
      <xdr:nvPicPr>
        <xdr:cNvPr id="18" name="Picture 17" descr="page4image24114496">
          <a:extLst>
            <a:ext uri="{FF2B5EF4-FFF2-40B4-BE49-F238E27FC236}">
              <a16:creationId xmlns:a16="http://schemas.microsoft.com/office/drawing/2014/main" id="{627457DA-45BC-3A4E-9E30-CB124BC8F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4400" y="3136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317500</xdr:colOff>
      <xdr:row>18</xdr:row>
      <xdr:rowOff>0</xdr:rowOff>
    </xdr:to>
    <xdr:pic>
      <xdr:nvPicPr>
        <xdr:cNvPr id="19" name="Picture 18" descr="page4image24101056">
          <a:extLst>
            <a:ext uri="{FF2B5EF4-FFF2-40B4-BE49-F238E27FC236}">
              <a16:creationId xmlns:a16="http://schemas.microsoft.com/office/drawing/2014/main" id="{9AF89D87-9F24-454F-AF97-72DA668A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3136900"/>
          <a:ext cx="317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330200</xdr:colOff>
      <xdr:row>18</xdr:row>
      <xdr:rowOff>0</xdr:rowOff>
    </xdr:from>
    <xdr:to>
      <xdr:col>1</xdr:col>
      <xdr:colOff>736600</xdr:colOff>
      <xdr:row>18</xdr:row>
      <xdr:rowOff>0</xdr:rowOff>
    </xdr:to>
    <xdr:pic>
      <xdr:nvPicPr>
        <xdr:cNvPr id="20" name="Picture 19" descr="page4image24111616">
          <a:extLst>
            <a:ext uri="{FF2B5EF4-FFF2-40B4-BE49-F238E27FC236}">
              <a16:creationId xmlns:a16="http://schemas.microsoft.com/office/drawing/2014/main" id="{DEEA8A36-6841-3C4B-BBEC-95A7D9FBD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36900"/>
          <a:ext cx="4064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584200</xdr:colOff>
      <xdr:row>19</xdr:row>
      <xdr:rowOff>0</xdr:rowOff>
    </xdr:to>
    <xdr:pic>
      <xdr:nvPicPr>
        <xdr:cNvPr id="21" name="Picture 20" descr="page4image8627504">
          <a:extLst>
            <a:ext uri="{FF2B5EF4-FFF2-40B4-BE49-F238E27FC236}">
              <a16:creationId xmlns:a16="http://schemas.microsoft.com/office/drawing/2014/main" id="{38618F5A-F289-0248-99A4-BB43218E3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0600" y="3352800"/>
          <a:ext cx="584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12700</xdr:colOff>
      <xdr:row>19</xdr:row>
      <xdr:rowOff>12700</xdr:rowOff>
    </xdr:to>
    <xdr:pic>
      <xdr:nvPicPr>
        <xdr:cNvPr id="22" name="Picture 21" descr="page4image24113344">
          <a:extLst>
            <a:ext uri="{FF2B5EF4-FFF2-40B4-BE49-F238E27FC236}">
              <a16:creationId xmlns:a16="http://schemas.microsoft.com/office/drawing/2014/main" id="{86E541D6-F0D4-0A45-8A05-FE8C09D00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3352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444500</xdr:colOff>
      <xdr:row>19</xdr:row>
      <xdr:rowOff>0</xdr:rowOff>
    </xdr:to>
    <xdr:pic>
      <xdr:nvPicPr>
        <xdr:cNvPr id="23" name="Picture 22" descr="page4image24102976">
          <a:extLst>
            <a:ext uri="{FF2B5EF4-FFF2-40B4-BE49-F238E27FC236}">
              <a16:creationId xmlns:a16="http://schemas.microsoft.com/office/drawing/2014/main" id="{56CBEF23-B08F-4A44-A157-BBA4DC11D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4400" y="3352800"/>
          <a:ext cx="444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152400</xdr:colOff>
      <xdr:row>19</xdr:row>
      <xdr:rowOff>0</xdr:rowOff>
    </xdr:to>
    <xdr:pic>
      <xdr:nvPicPr>
        <xdr:cNvPr id="24" name="Picture 23" descr="page4image24114880">
          <a:extLst>
            <a:ext uri="{FF2B5EF4-FFF2-40B4-BE49-F238E27FC236}">
              <a16:creationId xmlns:a16="http://schemas.microsoft.com/office/drawing/2014/main" id="{BE9BDA4A-22A7-D04E-9438-B75A8E7C6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600" y="3352800"/>
          <a:ext cx="1524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12700</xdr:colOff>
      <xdr:row>19</xdr:row>
      <xdr:rowOff>12700</xdr:rowOff>
    </xdr:to>
    <xdr:pic>
      <xdr:nvPicPr>
        <xdr:cNvPr id="25" name="Picture 24" descr="page4image24096960">
          <a:extLst>
            <a:ext uri="{FF2B5EF4-FFF2-40B4-BE49-F238E27FC236}">
              <a16:creationId xmlns:a16="http://schemas.microsoft.com/office/drawing/2014/main" id="{1DA90E6F-29D8-2442-85F5-53CB97C3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4400" y="3352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317500</xdr:colOff>
      <xdr:row>18</xdr:row>
      <xdr:rowOff>0</xdr:rowOff>
    </xdr:to>
    <xdr:pic>
      <xdr:nvPicPr>
        <xdr:cNvPr id="26" name="Picture 25" descr="page4image24090432">
          <a:extLst>
            <a:ext uri="{FF2B5EF4-FFF2-40B4-BE49-F238E27FC236}">
              <a16:creationId xmlns:a16="http://schemas.microsoft.com/office/drawing/2014/main" id="{C051B95E-918F-8B40-BD3D-370EFD8A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3136900"/>
          <a:ext cx="317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317500</xdr:colOff>
      <xdr:row>18</xdr:row>
      <xdr:rowOff>0</xdr:rowOff>
    </xdr:to>
    <xdr:pic>
      <xdr:nvPicPr>
        <xdr:cNvPr id="27" name="Picture 26" descr="page4image24093312">
          <a:extLst>
            <a:ext uri="{FF2B5EF4-FFF2-40B4-BE49-F238E27FC236}">
              <a16:creationId xmlns:a16="http://schemas.microsoft.com/office/drawing/2014/main" id="{B3AE0F46-39D5-5942-AAF4-B5786451B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3136900"/>
          <a:ext cx="317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330200</xdr:colOff>
      <xdr:row>18</xdr:row>
      <xdr:rowOff>0</xdr:rowOff>
    </xdr:from>
    <xdr:to>
      <xdr:col>1</xdr:col>
      <xdr:colOff>736600</xdr:colOff>
      <xdr:row>18</xdr:row>
      <xdr:rowOff>0</xdr:rowOff>
    </xdr:to>
    <xdr:pic>
      <xdr:nvPicPr>
        <xdr:cNvPr id="28" name="Picture 27" descr="page4image24092736">
          <a:extLst>
            <a:ext uri="{FF2B5EF4-FFF2-40B4-BE49-F238E27FC236}">
              <a16:creationId xmlns:a16="http://schemas.microsoft.com/office/drawing/2014/main" id="{FADBB425-5998-0340-B04B-5249EC90B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36900"/>
          <a:ext cx="4064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749300</xdr:colOff>
      <xdr:row>18</xdr:row>
      <xdr:rowOff>0</xdr:rowOff>
    </xdr:from>
    <xdr:to>
      <xdr:col>1</xdr:col>
      <xdr:colOff>909342</xdr:colOff>
      <xdr:row>18</xdr:row>
      <xdr:rowOff>0</xdr:rowOff>
    </xdr:to>
    <xdr:pic>
      <xdr:nvPicPr>
        <xdr:cNvPr id="29" name="Picture 28" descr="page4image24093696">
          <a:extLst>
            <a:ext uri="{FF2B5EF4-FFF2-40B4-BE49-F238E27FC236}">
              <a16:creationId xmlns:a16="http://schemas.microsoft.com/office/drawing/2014/main" id="{1B7A18B6-73D3-084E-9CE6-CD48FF9CA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136900"/>
          <a:ext cx="16004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12700</xdr:colOff>
      <xdr:row>18</xdr:row>
      <xdr:rowOff>12700</xdr:rowOff>
    </xdr:to>
    <xdr:pic>
      <xdr:nvPicPr>
        <xdr:cNvPr id="30" name="Picture 29" descr="page4image24098688">
          <a:extLst>
            <a:ext uri="{FF2B5EF4-FFF2-40B4-BE49-F238E27FC236}">
              <a16:creationId xmlns:a16="http://schemas.microsoft.com/office/drawing/2014/main" id="{80A2CEA3-83C8-0649-936D-5F88FA7E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3136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12700</xdr:colOff>
      <xdr:row>18</xdr:row>
      <xdr:rowOff>12700</xdr:rowOff>
    </xdr:to>
    <xdr:pic>
      <xdr:nvPicPr>
        <xdr:cNvPr id="31" name="Picture 30" descr="page4image24100608">
          <a:extLst>
            <a:ext uri="{FF2B5EF4-FFF2-40B4-BE49-F238E27FC236}">
              <a16:creationId xmlns:a16="http://schemas.microsoft.com/office/drawing/2014/main" id="{844A89DB-BFBB-B045-9681-89764ED2E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4400" y="3136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12700</xdr:colOff>
      <xdr:row>16</xdr:row>
      <xdr:rowOff>12700</xdr:rowOff>
    </xdr:to>
    <xdr:pic>
      <xdr:nvPicPr>
        <xdr:cNvPr id="32" name="Picture 31" descr="page3image23695296">
          <a:extLst>
            <a:ext uri="{FF2B5EF4-FFF2-40B4-BE49-F238E27FC236}">
              <a16:creationId xmlns:a16="http://schemas.microsoft.com/office/drawing/2014/main" id="{95BBD9C4-3277-1C46-94C0-B2E0B9E07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4400" y="2400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12700</xdr:colOff>
      <xdr:row>16</xdr:row>
      <xdr:rowOff>12700</xdr:rowOff>
    </xdr:to>
    <xdr:pic>
      <xdr:nvPicPr>
        <xdr:cNvPr id="33" name="Picture 32" descr="page4image24049728">
          <a:extLst>
            <a:ext uri="{FF2B5EF4-FFF2-40B4-BE49-F238E27FC236}">
              <a16:creationId xmlns:a16="http://schemas.microsoft.com/office/drawing/2014/main" id="{C3A03A4E-B2C5-2A47-9B5B-F4DE6607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2400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584200</xdr:colOff>
      <xdr:row>18</xdr:row>
      <xdr:rowOff>0</xdr:rowOff>
    </xdr:to>
    <xdr:pic>
      <xdr:nvPicPr>
        <xdr:cNvPr id="34" name="Picture 33" descr="page4image8643104">
          <a:extLst>
            <a:ext uri="{FF2B5EF4-FFF2-40B4-BE49-F238E27FC236}">
              <a16:creationId xmlns:a16="http://schemas.microsoft.com/office/drawing/2014/main" id="{74963993-6A67-2045-8BF8-81DB19E13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0600" y="3136900"/>
          <a:ext cx="584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12700</xdr:colOff>
      <xdr:row>18</xdr:row>
      <xdr:rowOff>12700</xdr:rowOff>
    </xdr:to>
    <xdr:pic>
      <xdr:nvPicPr>
        <xdr:cNvPr id="35" name="Picture 34" descr="page4image24103168">
          <a:extLst>
            <a:ext uri="{FF2B5EF4-FFF2-40B4-BE49-F238E27FC236}">
              <a16:creationId xmlns:a16="http://schemas.microsoft.com/office/drawing/2014/main" id="{0CF9F0E4-7E18-E34B-B77D-0A522B09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3136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12700</xdr:colOff>
      <xdr:row>16</xdr:row>
      <xdr:rowOff>12700</xdr:rowOff>
    </xdr:to>
    <xdr:pic>
      <xdr:nvPicPr>
        <xdr:cNvPr id="36" name="Picture 35" descr="page4image8635040">
          <a:extLst>
            <a:ext uri="{FF2B5EF4-FFF2-40B4-BE49-F238E27FC236}">
              <a16:creationId xmlns:a16="http://schemas.microsoft.com/office/drawing/2014/main" id="{34BA21F6-A169-7C48-BE37-A20EAFC80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4400" y="2400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12700</xdr:colOff>
      <xdr:row>18</xdr:row>
      <xdr:rowOff>12700</xdr:rowOff>
    </xdr:to>
    <xdr:pic>
      <xdr:nvPicPr>
        <xdr:cNvPr id="37" name="Picture 36" descr="page4image24114496">
          <a:extLst>
            <a:ext uri="{FF2B5EF4-FFF2-40B4-BE49-F238E27FC236}">
              <a16:creationId xmlns:a16="http://schemas.microsoft.com/office/drawing/2014/main" id="{B4D77979-B9A0-5F4D-85AF-16E20C94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4400" y="3136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317500</xdr:colOff>
      <xdr:row>18</xdr:row>
      <xdr:rowOff>0</xdr:rowOff>
    </xdr:to>
    <xdr:pic>
      <xdr:nvPicPr>
        <xdr:cNvPr id="38" name="Picture 37" descr="page4image24101056">
          <a:extLst>
            <a:ext uri="{FF2B5EF4-FFF2-40B4-BE49-F238E27FC236}">
              <a16:creationId xmlns:a16="http://schemas.microsoft.com/office/drawing/2014/main" id="{9DD8D9A5-D622-2E4B-9303-D89D0DB65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3136900"/>
          <a:ext cx="317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330200</xdr:colOff>
      <xdr:row>18</xdr:row>
      <xdr:rowOff>0</xdr:rowOff>
    </xdr:from>
    <xdr:to>
      <xdr:col>1</xdr:col>
      <xdr:colOff>736600</xdr:colOff>
      <xdr:row>18</xdr:row>
      <xdr:rowOff>0</xdr:rowOff>
    </xdr:to>
    <xdr:pic>
      <xdr:nvPicPr>
        <xdr:cNvPr id="39" name="Picture 38" descr="page4image24111616">
          <a:extLst>
            <a:ext uri="{FF2B5EF4-FFF2-40B4-BE49-F238E27FC236}">
              <a16:creationId xmlns:a16="http://schemas.microsoft.com/office/drawing/2014/main" id="{5F8C9C9A-D5D4-6F4D-843A-D26952104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36900"/>
          <a:ext cx="4064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584200</xdr:colOff>
      <xdr:row>17</xdr:row>
      <xdr:rowOff>0</xdr:rowOff>
    </xdr:to>
    <xdr:pic>
      <xdr:nvPicPr>
        <xdr:cNvPr id="40" name="Picture 39" descr="page4image8627504">
          <a:extLst>
            <a:ext uri="{FF2B5EF4-FFF2-40B4-BE49-F238E27FC236}">
              <a16:creationId xmlns:a16="http://schemas.microsoft.com/office/drawing/2014/main" id="{D7EECC30-136B-6648-AE38-76F0B3195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0600" y="2705100"/>
          <a:ext cx="5842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12700</xdr:colOff>
      <xdr:row>18</xdr:row>
      <xdr:rowOff>12700</xdr:rowOff>
    </xdr:to>
    <xdr:pic>
      <xdr:nvPicPr>
        <xdr:cNvPr id="41" name="Picture 40" descr="page4image24113344">
          <a:extLst>
            <a:ext uri="{FF2B5EF4-FFF2-40B4-BE49-F238E27FC236}">
              <a16:creationId xmlns:a16="http://schemas.microsoft.com/office/drawing/2014/main" id="{4E7EC0AF-7D7E-7F44-997F-B96123876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3136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444500</xdr:colOff>
      <xdr:row>18</xdr:row>
      <xdr:rowOff>0</xdr:rowOff>
    </xdr:to>
    <xdr:pic>
      <xdr:nvPicPr>
        <xdr:cNvPr id="42" name="Picture 41" descr="page4image24102976">
          <a:extLst>
            <a:ext uri="{FF2B5EF4-FFF2-40B4-BE49-F238E27FC236}">
              <a16:creationId xmlns:a16="http://schemas.microsoft.com/office/drawing/2014/main" id="{F5647606-A265-0140-A2A3-E8E977B1E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4400" y="3136900"/>
          <a:ext cx="444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152400</xdr:colOff>
      <xdr:row>18</xdr:row>
      <xdr:rowOff>0</xdr:rowOff>
    </xdr:to>
    <xdr:pic>
      <xdr:nvPicPr>
        <xdr:cNvPr id="43" name="Picture 42" descr="page4image24114880">
          <a:extLst>
            <a:ext uri="{FF2B5EF4-FFF2-40B4-BE49-F238E27FC236}">
              <a16:creationId xmlns:a16="http://schemas.microsoft.com/office/drawing/2014/main" id="{0A90F94A-516A-3F44-BA1D-FC9B2FC1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600" y="3136900"/>
          <a:ext cx="1524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12700</xdr:colOff>
      <xdr:row>19</xdr:row>
      <xdr:rowOff>12700</xdr:rowOff>
    </xdr:to>
    <xdr:pic>
      <xdr:nvPicPr>
        <xdr:cNvPr id="44" name="Picture 43" descr="page4image24096960">
          <a:extLst>
            <a:ext uri="{FF2B5EF4-FFF2-40B4-BE49-F238E27FC236}">
              <a16:creationId xmlns:a16="http://schemas.microsoft.com/office/drawing/2014/main" id="{9A27A13F-4346-EB4C-BE36-B879C481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4400" y="3352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317500</xdr:colOff>
      <xdr:row>18</xdr:row>
      <xdr:rowOff>0</xdr:rowOff>
    </xdr:to>
    <xdr:pic>
      <xdr:nvPicPr>
        <xdr:cNvPr id="45" name="Picture 44" descr="page4image24090432">
          <a:extLst>
            <a:ext uri="{FF2B5EF4-FFF2-40B4-BE49-F238E27FC236}">
              <a16:creationId xmlns:a16="http://schemas.microsoft.com/office/drawing/2014/main" id="{9FDB70F8-6736-F24F-BFB6-2625815B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3136900"/>
          <a:ext cx="317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317500</xdr:colOff>
      <xdr:row>18</xdr:row>
      <xdr:rowOff>0</xdr:rowOff>
    </xdr:to>
    <xdr:pic>
      <xdr:nvPicPr>
        <xdr:cNvPr id="46" name="Picture 45" descr="page4image24093312">
          <a:extLst>
            <a:ext uri="{FF2B5EF4-FFF2-40B4-BE49-F238E27FC236}">
              <a16:creationId xmlns:a16="http://schemas.microsoft.com/office/drawing/2014/main" id="{60C43AD1-4055-934C-AE91-524CE23C4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3136900"/>
          <a:ext cx="317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330200</xdr:colOff>
      <xdr:row>18</xdr:row>
      <xdr:rowOff>40640</xdr:rowOff>
    </xdr:from>
    <xdr:to>
      <xdr:col>1</xdr:col>
      <xdr:colOff>736600</xdr:colOff>
      <xdr:row>18</xdr:row>
      <xdr:rowOff>40640</xdr:rowOff>
    </xdr:to>
    <xdr:pic>
      <xdr:nvPicPr>
        <xdr:cNvPr id="47" name="Picture 46" descr="page4image24092736">
          <a:extLst>
            <a:ext uri="{FF2B5EF4-FFF2-40B4-BE49-F238E27FC236}">
              <a16:creationId xmlns:a16="http://schemas.microsoft.com/office/drawing/2014/main" id="{B56191B6-D7C8-2441-9989-6F7E158F9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440" y="4104640"/>
          <a:ext cx="4064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749300</xdr:colOff>
      <xdr:row>18</xdr:row>
      <xdr:rowOff>0</xdr:rowOff>
    </xdr:from>
    <xdr:to>
      <xdr:col>1</xdr:col>
      <xdr:colOff>909342</xdr:colOff>
      <xdr:row>18</xdr:row>
      <xdr:rowOff>0</xdr:rowOff>
    </xdr:to>
    <xdr:pic>
      <xdr:nvPicPr>
        <xdr:cNvPr id="48" name="Picture 47" descr="page4image24093696">
          <a:extLst>
            <a:ext uri="{FF2B5EF4-FFF2-40B4-BE49-F238E27FC236}">
              <a16:creationId xmlns:a16="http://schemas.microsoft.com/office/drawing/2014/main" id="{077C641A-B838-5C45-8169-E8AD40004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136900"/>
          <a:ext cx="16004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12700</xdr:colOff>
      <xdr:row>18</xdr:row>
      <xdr:rowOff>12700</xdr:rowOff>
    </xdr:to>
    <xdr:pic>
      <xdr:nvPicPr>
        <xdr:cNvPr id="49" name="Picture 48" descr="page4image24098688">
          <a:extLst>
            <a:ext uri="{FF2B5EF4-FFF2-40B4-BE49-F238E27FC236}">
              <a16:creationId xmlns:a16="http://schemas.microsoft.com/office/drawing/2014/main" id="{829CCDBA-18EE-564D-967B-8E10F753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3136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12700</xdr:colOff>
      <xdr:row>18</xdr:row>
      <xdr:rowOff>12700</xdr:rowOff>
    </xdr:to>
    <xdr:pic>
      <xdr:nvPicPr>
        <xdr:cNvPr id="50" name="Picture 49" descr="page4image24100608">
          <a:extLst>
            <a:ext uri="{FF2B5EF4-FFF2-40B4-BE49-F238E27FC236}">
              <a16:creationId xmlns:a16="http://schemas.microsoft.com/office/drawing/2014/main" id="{8BD01342-6BB1-7B42-A392-A7C57503F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4400" y="3136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317500</xdr:colOff>
      <xdr:row>2</xdr:row>
      <xdr:rowOff>0</xdr:rowOff>
    </xdr:to>
    <xdr:pic>
      <xdr:nvPicPr>
        <xdr:cNvPr id="14" name="Picture 13" descr="page4image24101056">
          <a:extLst>
            <a:ext uri="{FF2B5EF4-FFF2-40B4-BE49-F238E27FC236}">
              <a16:creationId xmlns:a16="http://schemas.microsoft.com/office/drawing/2014/main" id="{1F23D40A-DA5E-6640-99C3-2998E7D25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4419600"/>
          <a:ext cx="317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330200</xdr:colOff>
      <xdr:row>2</xdr:row>
      <xdr:rowOff>0</xdr:rowOff>
    </xdr:from>
    <xdr:to>
      <xdr:col>1</xdr:col>
      <xdr:colOff>736600</xdr:colOff>
      <xdr:row>2</xdr:row>
      <xdr:rowOff>0</xdr:rowOff>
    </xdr:to>
    <xdr:pic>
      <xdr:nvPicPr>
        <xdr:cNvPr id="15" name="Picture 14" descr="page4image24111616">
          <a:extLst>
            <a:ext uri="{FF2B5EF4-FFF2-40B4-BE49-F238E27FC236}">
              <a16:creationId xmlns:a16="http://schemas.microsoft.com/office/drawing/2014/main" id="{9CE66B54-040D-2342-8D70-CE2B132B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100" y="4419600"/>
          <a:ext cx="4064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317500</xdr:colOff>
      <xdr:row>2</xdr:row>
      <xdr:rowOff>0</xdr:rowOff>
    </xdr:to>
    <xdr:pic>
      <xdr:nvPicPr>
        <xdr:cNvPr id="16" name="Picture 15" descr="page4image24090432">
          <a:extLst>
            <a:ext uri="{FF2B5EF4-FFF2-40B4-BE49-F238E27FC236}">
              <a16:creationId xmlns:a16="http://schemas.microsoft.com/office/drawing/2014/main" id="{AF17A64D-B4BB-E643-98DA-5247AD15C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4419600"/>
          <a:ext cx="317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317500</xdr:colOff>
      <xdr:row>2</xdr:row>
      <xdr:rowOff>0</xdr:rowOff>
    </xdr:to>
    <xdr:pic>
      <xdr:nvPicPr>
        <xdr:cNvPr id="17" name="Picture 16" descr="page4image24093312">
          <a:extLst>
            <a:ext uri="{FF2B5EF4-FFF2-40B4-BE49-F238E27FC236}">
              <a16:creationId xmlns:a16="http://schemas.microsoft.com/office/drawing/2014/main" id="{43B365D6-97BA-E440-8BA5-F4FE610C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4419600"/>
          <a:ext cx="317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330200</xdr:colOff>
      <xdr:row>2</xdr:row>
      <xdr:rowOff>0</xdr:rowOff>
    </xdr:from>
    <xdr:to>
      <xdr:col>1</xdr:col>
      <xdr:colOff>736600</xdr:colOff>
      <xdr:row>2</xdr:row>
      <xdr:rowOff>0</xdr:rowOff>
    </xdr:to>
    <xdr:pic>
      <xdr:nvPicPr>
        <xdr:cNvPr id="18" name="Picture 17" descr="page4image24092736">
          <a:extLst>
            <a:ext uri="{FF2B5EF4-FFF2-40B4-BE49-F238E27FC236}">
              <a16:creationId xmlns:a16="http://schemas.microsoft.com/office/drawing/2014/main" id="{F8155BCE-1F2A-2B4A-B50D-4BF9687C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100" y="4419600"/>
          <a:ext cx="4064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749300</xdr:colOff>
      <xdr:row>2</xdr:row>
      <xdr:rowOff>0</xdr:rowOff>
    </xdr:from>
    <xdr:to>
      <xdr:col>1</xdr:col>
      <xdr:colOff>909342</xdr:colOff>
      <xdr:row>2</xdr:row>
      <xdr:rowOff>0</xdr:rowOff>
    </xdr:to>
    <xdr:pic>
      <xdr:nvPicPr>
        <xdr:cNvPr id="19" name="Picture 18" descr="page4image24093696">
          <a:extLst>
            <a:ext uri="{FF2B5EF4-FFF2-40B4-BE49-F238E27FC236}">
              <a16:creationId xmlns:a16="http://schemas.microsoft.com/office/drawing/2014/main" id="{AA90898C-4469-214D-8486-45CFA6314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200" y="4419600"/>
          <a:ext cx="16004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317500</xdr:colOff>
      <xdr:row>2</xdr:row>
      <xdr:rowOff>0</xdr:rowOff>
    </xdr:to>
    <xdr:pic>
      <xdr:nvPicPr>
        <xdr:cNvPr id="20" name="Picture 19" descr="page4image24101056">
          <a:extLst>
            <a:ext uri="{FF2B5EF4-FFF2-40B4-BE49-F238E27FC236}">
              <a16:creationId xmlns:a16="http://schemas.microsoft.com/office/drawing/2014/main" id="{9CA0F6EE-B0F5-054F-86F9-4B9648782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4419600"/>
          <a:ext cx="317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330200</xdr:colOff>
      <xdr:row>2</xdr:row>
      <xdr:rowOff>0</xdr:rowOff>
    </xdr:from>
    <xdr:to>
      <xdr:col>1</xdr:col>
      <xdr:colOff>736600</xdr:colOff>
      <xdr:row>2</xdr:row>
      <xdr:rowOff>0</xdr:rowOff>
    </xdr:to>
    <xdr:pic>
      <xdr:nvPicPr>
        <xdr:cNvPr id="21" name="Picture 20" descr="page4image24111616">
          <a:extLst>
            <a:ext uri="{FF2B5EF4-FFF2-40B4-BE49-F238E27FC236}">
              <a16:creationId xmlns:a16="http://schemas.microsoft.com/office/drawing/2014/main" id="{6B31FAC5-5B27-7048-89E3-041369B34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100" y="4419600"/>
          <a:ext cx="4064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317500</xdr:colOff>
      <xdr:row>2</xdr:row>
      <xdr:rowOff>0</xdr:rowOff>
    </xdr:to>
    <xdr:pic>
      <xdr:nvPicPr>
        <xdr:cNvPr id="22" name="Picture 21" descr="page4image24090432">
          <a:extLst>
            <a:ext uri="{FF2B5EF4-FFF2-40B4-BE49-F238E27FC236}">
              <a16:creationId xmlns:a16="http://schemas.microsoft.com/office/drawing/2014/main" id="{708AECB1-7D8E-4748-8C4E-33F55AF8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4419600"/>
          <a:ext cx="317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317500</xdr:colOff>
      <xdr:row>2</xdr:row>
      <xdr:rowOff>0</xdr:rowOff>
    </xdr:to>
    <xdr:pic>
      <xdr:nvPicPr>
        <xdr:cNvPr id="23" name="Picture 22" descr="page4image24093312">
          <a:extLst>
            <a:ext uri="{FF2B5EF4-FFF2-40B4-BE49-F238E27FC236}">
              <a16:creationId xmlns:a16="http://schemas.microsoft.com/office/drawing/2014/main" id="{BE28FE26-D16B-E74B-95B2-601B764BE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4419600"/>
          <a:ext cx="317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330200</xdr:colOff>
      <xdr:row>2</xdr:row>
      <xdr:rowOff>0</xdr:rowOff>
    </xdr:from>
    <xdr:to>
      <xdr:col>1</xdr:col>
      <xdr:colOff>736600</xdr:colOff>
      <xdr:row>2</xdr:row>
      <xdr:rowOff>0</xdr:rowOff>
    </xdr:to>
    <xdr:pic>
      <xdr:nvPicPr>
        <xdr:cNvPr id="24" name="Picture 23" descr="page4image24092736">
          <a:extLst>
            <a:ext uri="{FF2B5EF4-FFF2-40B4-BE49-F238E27FC236}">
              <a16:creationId xmlns:a16="http://schemas.microsoft.com/office/drawing/2014/main" id="{60E2C224-291C-1B46-BEE4-64E8509AA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100" y="4419600"/>
          <a:ext cx="4064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749300</xdr:colOff>
      <xdr:row>2</xdr:row>
      <xdr:rowOff>0</xdr:rowOff>
    </xdr:from>
    <xdr:to>
      <xdr:col>1</xdr:col>
      <xdr:colOff>909342</xdr:colOff>
      <xdr:row>2</xdr:row>
      <xdr:rowOff>0</xdr:rowOff>
    </xdr:to>
    <xdr:pic>
      <xdr:nvPicPr>
        <xdr:cNvPr id="25" name="Picture 24" descr="page4image24093696">
          <a:extLst>
            <a:ext uri="{FF2B5EF4-FFF2-40B4-BE49-F238E27FC236}">
              <a16:creationId xmlns:a16="http://schemas.microsoft.com/office/drawing/2014/main" id="{D67DF50F-C21C-6247-940D-DCE3AA747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200" y="4419600"/>
          <a:ext cx="16004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5BD40-AAEC-214A-ADED-15A5A9792AA8}">
  <sheetPr codeName="Sheet1"/>
  <dimension ref="A1:K35"/>
  <sheetViews>
    <sheetView showGridLines="0" tabSelected="1" zoomScale="95" zoomScaleNormal="95" workbookViewId="0">
      <selection activeCell="A28" sqref="A28"/>
    </sheetView>
  </sheetViews>
  <sheetFormatPr baseColWidth="10" defaultRowHeight="16"/>
  <cols>
    <col min="1" max="1" width="18.33203125" customWidth="1"/>
    <col min="2" max="2" width="17.83203125" customWidth="1"/>
    <col min="3" max="3" width="15.6640625" customWidth="1"/>
    <col min="4" max="4" width="17" customWidth="1"/>
    <col min="5" max="5" width="18.6640625" customWidth="1"/>
    <col min="6" max="6" width="17.83203125" customWidth="1"/>
  </cols>
  <sheetData>
    <row r="1" spans="1:11" ht="23">
      <c r="A1" s="83" t="s">
        <v>99</v>
      </c>
      <c r="B1" s="84"/>
      <c r="C1" s="84"/>
      <c r="D1" s="84"/>
      <c r="E1" s="84"/>
      <c r="F1" s="84"/>
      <c r="G1" s="81"/>
      <c r="H1" s="81"/>
      <c r="I1" s="81"/>
      <c r="J1" s="81"/>
      <c r="K1" s="81"/>
    </row>
    <row r="2" spans="1:11" ht="18">
      <c r="A2" s="85" t="s">
        <v>96</v>
      </c>
      <c r="B2" s="84"/>
      <c r="C2" s="84"/>
      <c r="D2" s="84"/>
      <c r="E2" s="84"/>
      <c r="F2" s="84"/>
      <c r="G2" s="81"/>
      <c r="H2" s="81"/>
      <c r="I2" s="81"/>
      <c r="J2" s="81"/>
      <c r="K2" s="81"/>
    </row>
    <row r="3" spans="1:11" ht="16" customHeight="1">
      <c r="A3" s="86" t="s">
        <v>98</v>
      </c>
      <c r="B3" s="84"/>
      <c r="C3" s="84"/>
      <c r="D3" s="84"/>
      <c r="E3" s="87"/>
      <c r="F3" s="87"/>
      <c r="G3" s="81"/>
      <c r="H3" s="81"/>
      <c r="I3" s="81"/>
      <c r="J3" s="81"/>
      <c r="K3" s="81"/>
    </row>
    <row r="4" spans="1:11">
      <c r="A4" s="88" t="s">
        <v>97</v>
      </c>
      <c r="B4" s="89"/>
      <c r="C4" s="89"/>
      <c r="D4" s="89"/>
      <c r="E4" s="87"/>
      <c r="F4" s="87"/>
      <c r="G4" s="81"/>
      <c r="H4" s="81"/>
      <c r="I4" s="81"/>
      <c r="J4" s="81"/>
      <c r="K4" s="81"/>
    </row>
    <row r="5" spans="1:11" ht="33" customHeight="1" thickBot="1">
      <c r="A5" s="90" t="s">
        <v>77</v>
      </c>
      <c r="B5" s="91"/>
      <c r="C5" s="91"/>
      <c r="D5" s="91"/>
      <c r="E5" s="91"/>
      <c r="F5" s="92"/>
      <c r="G5" s="81"/>
      <c r="H5" s="81"/>
      <c r="I5" s="81"/>
      <c r="J5" s="81"/>
      <c r="K5" s="81"/>
    </row>
    <row r="6" spans="1:11" ht="64" customHeight="1" thickBot="1">
      <c r="A6" s="93" t="s">
        <v>7</v>
      </c>
      <c r="B6" s="94" t="s">
        <v>0</v>
      </c>
      <c r="C6" s="95" t="s">
        <v>1</v>
      </c>
      <c r="D6" s="94" t="s">
        <v>2</v>
      </c>
      <c r="E6" s="94" t="s">
        <v>70</v>
      </c>
      <c r="F6" s="96" t="s">
        <v>18</v>
      </c>
      <c r="G6" s="81"/>
      <c r="H6" s="81"/>
      <c r="I6" s="81"/>
      <c r="J6" s="81"/>
      <c r="K6" s="81"/>
    </row>
    <row r="7" spans="1:11" ht="16" customHeight="1">
      <c r="A7" s="97" t="s">
        <v>47</v>
      </c>
      <c r="B7" s="98" t="s">
        <v>102</v>
      </c>
      <c r="C7" s="99" t="s">
        <v>103</v>
      </c>
      <c r="D7" s="99" t="s">
        <v>104</v>
      </c>
      <c r="E7" s="100"/>
      <c r="F7" s="101" t="s">
        <v>105</v>
      </c>
      <c r="G7" s="81"/>
      <c r="H7" s="81"/>
      <c r="I7" s="81"/>
      <c r="J7" s="81"/>
      <c r="K7" s="81"/>
    </row>
    <row r="8" spans="1:11">
      <c r="A8" s="102"/>
      <c r="B8" s="20">
        <v>7.77</v>
      </c>
      <c r="C8" s="20">
        <v>0.5</v>
      </c>
      <c r="D8" s="20">
        <v>-0.18</v>
      </c>
      <c r="E8" s="103" t="s">
        <v>100</v>
      </c>
      <c r="F8" s="22">
        <v>1.3759999999999999</v>
      </c>
      <c r="G8" s="82"/>
      <c r="H8" s="81"/>
      <c r="I8" s="81"/>
      <c r="J8" s="81"/>
      <c r="K8" s="81"/>
    </row>
    <row r="9" spans="1:11" ht="34">
      <c r="A9" s="104" t="s">
        <v>48</v>
      </c>
      <c r="B9" s="105" t="s">
        <v>106</v>
      </c>
      <c r="C9" s="106" t="s">
        <v>107</v>
      </c>
      <c r="D9" s="107" t="s">
        <v>108</v>
      </c>
      <c r="E9" s="108"/>
      <c r="F9" s="109" t="s">
        <v>109</v>
      </c>
      <c r="G9" s="82"/>
      <c r="H9" s="81"/>
      <c r="I9" s="81"/>
      <c r="J9" s="81"/>
      <c r="K9" s="81"/>
    </row>
    <row r="10" spans="1:11" ht="17" thickBot="1">
      <c r="A10" s="110"/>
      <c r="B10" s="21">
        <v>6.4</v>
      </c>
      <c r="C10" s="27">
        <v>4.0999999999999996</v>
      </c>
      <c r="D10" s="24">
        <v>-0.6</v>
      </c>
      <c r="E10" s="111" t="s">
        <v>100</v>
      </c>
      <c r="F10" s="23">
        <v>1.3360000000000001</v>
      </c>
      <c r="G10" s="81"/>
      <c r="H10" s="81"/>
      <c r="I10" s="81"/>
      <c r="J10" s="81"/>
      <c r="K10" s="81"/>
    </row>
    <row r="11" spans="1:11" ht="16" customHeight="1">
      <c r="A11" s="112" t="s">
        <v>3</v>
      </c>
      <c r="B11" s="113" t="s">
        <v>8</v>
      </c>
      <c r="C11" s="106" t="s">
        <v>111</v>
      </c>
      <c r="D11" s="114"/>
      <c r="E11" s="115" t="s">
        <v>80</v>
      </c>
      <c r="F11" s="116" t="s">
        <v>110</v>
      </c>
      <c r="G11" s="81"/>
      <c r="H11" s="81"/>
      <c r="I11" s="81"/>
      <c r="J11" s="81"/>
      <c r="K11" s="81"/>
    </row>
    <row r="12" spans="1:11" ht="19">
      <c r="A12" s="117"/>
      <c r="B12" s="118">
        <f>Solution!B5</f>
        <v>14.061977540981655</v>
      </c>
      <c r="C12" s="28">
        <v>1.1000000000000001</v>
      </c>
      <c r="D12" s="20">
        <v>0</v>
      </c>
      <c r="E12" s="119">
        <f>Solution!B4</f>
        <v>-6.2681697326708431E-4</v>
      </c>
      <c r="F12" s="29">
        <v>1.46</v>
      </c>
      <c r="G12" s="81"/>
      <c r="H12" s="81"/>
      <c r="I12" s="81"/>
      <c r="J12" s="81"/>
      <c r="K12" s="81"/>
    </row>
    <row r="13" spans="1:11" ht="21">
      <c r="A13" s="112" t="s">
        <v>4</v>
      </c>
      <c r="B13" s="113" t="s">
        <v>9</v>
      </c>
      <c r="C13" s="120" t="s">
        <v>112</v>
      </c>
      <c r="D13" s="121"/>
      <c r="E13" s="115" t="s">
        <v>81</v>
      </c>
      <c r="F13" s="122" t="s">
        <v>69</v>
      </c>
      <c r="G13" s="81"/>
      <c r="H13" s="81"/>
      <c r="I13" s="81"/>
      <c r="J13" s="81"/>
      <c r="K13" s="81"/>
    </row>
    <row r="14" spans="1:11" ht="20" thickBot="1">
      <c r="A14" s="123"/>
      <c r="B14" s="124">
        <f>Solution!B6</f>
        <v>-9.4068420134834394</v>
      </c>
      <c r="C14" s="21">
        <f>C12</f>
        <v>1.1000000000000001</v>
      </c>
      <c r="D14" s="103">
        <v>0</v>
      </c>
      <c r="E14" s="125">
        <f>-E12</f>
        <v>6.2681697326708431E-4</v>
      </c>
      <c r="F14" s="80">
        <f>F12</f>
        <v>1.46</v>
      </c>
      <c r="G14" s="81"/>
      <c r="H14" s="81"/>
      <c r="I14" s="81"/>
      <c r="J14" s="81"/>
      <c r="K14" s="81"/>
    </row>
    <row r="15" spans="1:11" ht="40" customHeight="1">
      <c r="A15" s="126" t="s">
        <v>5</v>
      </c>
      <c r="B15" s="127" t="s">
        <v>6</v>
      </c>
      <c r="C15" s="128" t="s">
        <v>68</v>
      </c>
      <c r="D15" s="129" t="s">
        <v>6</v>
      </c>
      <c r="E15" s="130" t="s">
        <v>6</v>
      </c>
      <c r="F15" s="131" t="s">
        <v>71</v>
      </c>
      <c r="G15" s="81"/>
      <c r="H15" s="81"/>
      <c r="I15" s="81"/>
      <c r="J15" s="81"/>
      <c r="K15" s="81"/>
    </row>
    <row r="16" spans="1:11" ht="17" thickBot="1">
      <c r="A16" s="110"/>
      <c r="B16" s="132"/>
      <c r="C16" s="133"/>
      <c r="D16" s="134"/>
      <c r="E16" s="135"/>
      <c r="F16" s="80">
        <f>F10</f>
        <v>1.3360000000000001</v>
      </c>
      <c r="G16" s="81"/>
      <c r="H16" s="81"/>
      <c r="I16" s="81"/>
      <c r="J16" s="81"/>
      <c r="K16" s="81"/>
    </row>
    <row r="17" spans="1:11" ht="18" thickBot="1">
      <c r="A17" s="136" t="s">
        <v>10</v>
      </c>
      <c r="B17" s="26">
        <v>-12</v>
      </c>
      <c r="C17" s="132"/>
      <c r="D17" s="25">
        <v>0</v>
      </c>
      <c r="E17" s="137" t="s">
        <v>19</v>
      </c>
      <c r="F17" s="138"/>
      <c r="G17" s="81"/>
      <c r="H17" s="81"/>
      <c r="I17" s="81"/>
      <c r="J17" s="81"/>
      <c r="K17" s="81"/>
    </row>
    <row r="18" spans="1:11" ht="21" thickBot="1">
      <c r="A18" s="139" t="s">
        <v>78</v>
      </c>
      <c r="B18" s="140"/>
      <c r="C18" s="141"/>
      <c r="D18" s="140"/>
      <c r="E18" s="142"/>
      <c r="F18" s="143"/>
      <c r="G18" s="81"/>
      <c r="H18" s="81"/>
      <c r="I18" s="81"/>
      <c r="J18" s="81"/>
      <c r="K18" s="81"/>
    </row>
    <row r="19" spans="1:11" ht="21" thickBot="1">
      <c r="A19" s="144" t="s">
        <v>113</v>
      </c>
      <c r="B19" s="19">
        <f>F20*PI()/180</f>
        <v>9.599310885968812E-2</v>
      </c>
      <c r="C19" s="145" t="s">
        <v>72</v>
      </c>
      <c r="D19" s="146">
        <f>1+2*B20/D22*B22/(D20*0.001)</f>
        <v>5.5042508673537753</v>
      </c>
      <c r="E19" s="147" t="s">
        <v>82</v>
      </c>
      <c r="F19" s="148">
        <f>Solution!B3</f>
        <v>-0.1983540551195957</v>
      </c>
      <c r="G19" s="81"/>
      <c r="H19" s="81"/>
      <c r="I19" s="81"/>
      <c r="J19" s="81"/>
      <c r="K19" s="81"/>
    </row>
    <row r="20" spans="1:11" ht="20" thickBot="1">
      <c r="A20" s="149" t="s">
        <v>115</v>
      </c>
      <c r="B20" s="31">
        <v>2.25</v>
      </c>
      <c r="C20" s="149" t="s">
        <v>114</v>
      </c>
      <c r="D20" s="30">
        <v>22</v>
      </c>
      <c r="E20" s="150" t="s">
        <v>116</v>
      </c>
      <c r="F20" s="30">
        <v>5.5</v>
      </c>
      <c r="G20" s="81"/>
      <c r="H20" s="81"/>
      <c r="I20" s="81"/>
      <c r="J20" s="81"/>
      <c r="K20" s="81"/>
    </row>
    <row r="21" spans="1:11" ht="20">
      <c r="A21" s="151" t="s">
        <v>91</v>
      </c>
      <c r="B21" s="152"/>
      <c r="C21" s="152"/>
      <c r="D21" s="153"/>
      <c r="E21" s="154" t="s">
        <v>95</v>
      </c>
      <c r="F21" s="89"/>
      <c r="G21" s="81"/>
      <c r="H21" s="81"/>
      <c r="I21" s="81"/>
      <c r="J21" s="81"/>
      <c r="K21" s="81"/>
    </row>
    <row r="22" spans="1:11" ht="28" customHeight="1">
      <c r="A22" s="155" t="s">
        <v>66</v>
      </c>
      <c r="B22" s="156">
        <f>(F8-1)/B8-(F8-F10)/B10-C8/B8/B10*(F10-F8)*(F8-1)/F8</f>
        <v>4.2251148573823005E-2</v>
      </c>
      <c r="C22" s="155" t="s">
        <v>11</v>
      </c>
      <c r="D22" s="156">
        <f>B20*(1-C8/B23-C10/F10*B22)</f>
        <v>1.9186942833797926</v>
      </c>
      <c r="E22" s="157" t="s">
        <v>101</v>
      </c>
      <c r="F22" s="158"/>
      <c r="G22" s="81"/>
      <c r="H22" s="81"/>
      <c r="I22" s="81"/>
      <c r="J22" s="81"/>
      <c r="K22" s="81"/>
    </row>
    <row r="23" spans="1:11" ht="35" customHeight="1">
      <c r="A23" s="155" t="s">
        <v>64</v>
      </c>
      <c r="B23" s="159">
        <f>F8/(F8-1)*B8</f>
        <v>28.434893617021281</v>
      </c>
      <c r="C23" s="155" t="s">
        <v>12</v>
      </c>
      <c r="D23" s="159">
        <f>0.95*D22</f>
        <v>1.822759569210803</v>
      </c>
      <c r="E23" s="160"/>
      <c r="F23" s="158"/>
      <c r="G23" s="81"/>
      <c r="H23" s="81"/>
      <c r="I23" s="81"/>
      <c r="J23" s="81"/>
      <c r="K23" s="81"/>
    </row>
    <row r="24" spans="1:11" ht="16" customHeight="1">
      <c r="A24" s="155" t="s">
        <v>16</v>
      </c>
      <c r="B24" s="159">
        <f>((F8-1)/B8+(F8-F10)/B10)/B22</f>
        <v>1.2932488283904717</v>
      </c>
      <c r="C24" s="155" t="s">
        <v>67</v>
      </c>
      <c r="D24" s="159">
        <f>(D22+D23)/2</f>
        <v>1.8707269262952977</v>
      </c>
      <c r="E24" s="160"/>
      <c r="F24" s="158"/>
      <c r="G24" s="81"/>
      <c r="H24" s="81"/>
      <c r="I24" s="81"/>
      <c r="J24" s="81"/>
      <c r="K24" s="81"/>
    </row>
    <row r="25" spans="1:11" ht="16" customHeight="1">
      <c r="A25" s="155" t="s">
        <v>13</v>
      </c>
      <c r="B25" s="161">
        <v>1</v>
      </c>
      <c r="C25" s="155" t="s">
        <v>14</v>
      </c>
      <c r="D25" s="156">
        <f>B20*B22/F10</f>
        <v>7.1156500217890536E-2</v>
      </c>
      <c r="E25" s="160"/>
      <c r="F25" s="158"/>
      <c r="G25" s="81"/>
      <c r="H25" s="81"/>
      <c r="I25" s="81"/>
      <c r="J25" s="81"/>
      <c r="K25" s="81"/>
    </row>
    <row r="26" spans="1:11" ht="35" thickBot="1">
      <c r="A26" s="162" t="s">
        <v>65</v>
      </c>
      <c r="B26" s="163">
        <f>B20*B19</f>
        <v>0.21598449493429828</v>
      </c>
      <c r="C26" s="162" t="s">
        <v>15</v>
      </c>
      <c r="D26" s="163">
        <f>(D24*D20*0.001+B20*B22)/F16</f>
        <v>0.10196188373472928</v>
      </c>
      <c r="E26" s="160"/>
      <c r="F26" s="158"/>
      <c r="G26" s="81"/>
      <c r="H26" s="81"/>
      <c r="I26" s="81"/>
      <c r="J26" s="81"/>
      <c r="K26" s="81"/>
    </row>
    <row r="27" spans="1:11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1:11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1:11">
      <c r="A29" s="2"/>
    </row>
    <row r="30" spans="1:11">
      <c r="C30" s="1"/>
      <c r="D30" s="2"/>
    </row>
    <row r="32" spans="1:11">
      <c r="C32" s="1"/>
      <c r="D32" s="2"/>
    </row>
    <row r="33" spans="3:4">
      <c r="C33" s="1"/>
      <c r="D33" s="2"/>
    </row>
    <row r="34" spans="3:4">
      <c r="C34" s="1"/>
    </row>
    <row r="35" spans="3:4">
      <c r="C35" s="1"/>
    </row>
  </sheetData>
  <sheetProtection algorithmName="SHA-512" hashValue="RcYBkCXxsItXR4qFZrLLzzJigqwwQcYZ/IabZSFxnvjj+1vUuwk28DVLlye3q1LuZxPWocM8tDTvwIu0Qz0GUg==" saltValue="G7AIT/YYP+z8MXC8Wp9OkQ==" spinCount="100000" sheet="1" objects="1" scenarios="1" selectLockedCells="1"/>
  <mergeCells count="2">
    <mergeCell ref="E22:F26"/>
    <mergeCell ref="A21:D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6723C-8A54-614E-B4F0-43AE532B4C2F}">
  <sheetPr codeName="Sheet2"/>
  <dimension ref="A2:J25"/>
  <sheetViews>
    <sheetView showGridLines="0" workbookViewId="0">
      <selection sqref="A1:XFD1048576"/>
    </sheetView>
  </sheetViews>
  <sheetFormatPr baseColWidth="10" defaultRowHeight="16"/>
  <cols>
    <col min="1" max="1" width="14.6640625" customWidth="1"/>
    <col min="2" max="2" width="15" customWidth="1"/>
    <col min="3" max="3" width="15.6640625" customWidth="1"/>
    <col min="4" max="4" width="16.5" customWidth="1"/>
  </cols>
  <sheetData>
    <row r="2" spans="1:10" ht="21" thickBot="1">
      <c r="A2" s="4" t="s">
        <v>26</v>
      </c>
    </row>
    <row r="3" spans="1:10" ht="18">
      <c r="A3" s="8" t="s">
        <v>52</v>
      </c>
      <c r="B3" s="9" t="s">
        <v>53</v>
      </c>
      <c r="C3" s="9" t="s">
        <v>54</v>
      </c>
      <c r="D3" s="9" t="s">
        <v>55</v>
      </c>
      <c r="E3" s="9" t="s">
        <v>56</v>
      </c>
      <c r="F3" s="9" t="s">
        <v>57</v>
      </c>
      <c r="G3" s="9" t="s">
        <v>58</v>
      </c>
      <c r="H3" s="9" t="s">
        <v>59</v>
      </c>
      <c r="I3" s="9" t="s">
        <v>60</v>
      </c>
      <c r="J3" s="10" t="s">
        <v>61</v>
      </c>
    </row>
    <row r="4" spans="1:10" ht="17" thickBot="1">
      <c r="A4" s="32">
        <f>(1/('Eye parameter'!F8-1)^2-'Eye parameter'!F10*'Eye parameter'!F10/('Eye parameter'!F8-'Eye parameter'!F10)^2)/'Eye parameter'!F8/'Eye parameter'!F8</f>
        <v>-585.45511491046716</v>
      </c>
      <c r="B4" s="12">
        <f>-(('Eye parameter'!F8*'Eye parameter'!F8-1)+('Eye parameter'!F10*'Eye parameter'!F10-'Eye parameter'!F8*'Eye parameter'!F8)/'Eye parameter'!F8/'Eye parameter'!F8)/'Eye parameter'!F8/'Eye parameter'!F8</f>
        <v>-0.4415823991090006</v>
      </c>
      <c r="C4" s="12">
        <f>-(('Eye parameter'!F8+3)/('Eye parameter'!F8-1)-('Eye parameter'!F8+3*'Eye parameter'!F10)/('Eye parameter'!F8-'Eye parameter'!F10))/'Eye parameter'!F8/'Eye parameter'!F8</f>
        <v>64.94309747649713</v>
      </c>
      <c r="D4" s="12">
        <f>((2*'Eye parameter'!F8+3)/1-(2*'Eye parameter'!F8+3*'Eye parameter'!F10)/'Eye parameter'!F10)/'Eye parameter'!F8/'Eye parameter'!F8</f>
        <v>0.36554797381980253</v>
      </c>
      <c r="E4" s="12">
        <f>(('Eye parameter'!F8+2)/('Eye parameter'!F8-1)^2+('Eye parameter'!F8+2*'Eye parameter'!F10)/('Eye parameter'!F8-'Eye parameter'!F10)^2)/'Eye parameter'!F8</f>
        <v>1856.0171391874851</v>
      </c>
      <c r="F4" s="12">
        <f>((3*'Eye parameter'!F8+2)+(3*'Eye parameter'!F8+2*'Eye parameter'!F10)/'Eye parameter'!F10/'Eye parameter'!F10)/'Eye parameter'!F8</f>
        <v>7.2221989665009216</v>
      </c>
      <c r="G4" s="12">
        <f>-4*(('Eye parameter'!F8+1)/('Eye parameter'!F8-1)+('Eye parameter'!F8+'Eye parameter'!F10)/'Eye parameter'!F10/('Eye parameter'!F8-'Eye parameter'!F10))/'Eye parameter'!F8</f>
        <v>-165.89433700634427</v>
      </c>
      <c r="H4" s="11">
        <f>(2*'Eye parameter'!F8+1)/('Eye parameter'!F8-1)^2-(2*'Eye parameter'!F8+'Eye parameter'!F10)/'Eye parameter'!F10/('Eye parameter'!F8-'Eye parameter'!F10)^2</f>
        <v>-1885.8859917105756</v>
      </c>
      <c r="I4" s="12">
        <f>-((3*'Eye parameter'!F8+1)/('Eye parameter'!F8-1)-(3*'Eye parameter'!F8+'Eye parameter'!F10)/'Eye parameter'!F10/'Eye parameter'!F10/('Eye parameter'!F8-'Eye parameter'!F10))</f>
        <v>62.892771724992201</v>
      </c>
      <c r="J4" s="33">
        <f>(1/('Eye parameter'!F8-1)^2+1/'Eye parameter'!F10/'Eye parameter'!F10/('Eye parameter'!F8-'Eye parameter'!F10)^2)*'Eye parameter'!F8*'Eye parameter'!F8</f>
        <v>676.37789172010991</v>
      </c>
    </row>
    <row r="5" spans="1:10">
      <c r="A5" s="3"/>
      <c r="E5" s="3"/>
      <c r="H5" s="3"/>
    </row>
    <row r="7" spans="1:10" ht="21" thickBot="1">
      <c r="A7" s="4" t="s">
        <v>27</v>
      </c>
      <c r="D7" s="1"/>
      <c r="F7" s="1"/>
    </row>
    <row r="8" spans="1:10">
      <c r="A8" s="8" t="s">
        <v>20</v>
      </c>
      <c r="B8" s="9" t="s">
        <v>21</v>
      </c>
      <c r="C8" s="9" t="s">
        <v>22</v>
      </c>
      <c r="D8" s="9" t="s">
        <v>23</v>
      </c>
      <c r="E8" s="9" t="s">
        <v>24</v>
      </c>
      <c r="F8" s="10" t="s">
        <v>25</v>
      </c>
    </row>
    <row r="9" spans="1:10" ht="17" thickBot="1">
      <c r="A9" s="32">
        <f>(1/('Eye parameter'!F8-1)-'Eye parameter'!F10/('Eye parameter'!F8-'Eye parameter'!F10))/'Eye parameter'!F8/'Eye parameter'!F8</f>
        <v>-16.235774369124279</v>
      </c>
      <c r="B9" s="12">
        <f>-B4</f>
        <v>0.4415823991090006</v>
      </c>
      <c r="C9" s="12">
        <f>-(('Eye parameter'!F8+2)-('Eye parameter'!F8+2*'Eye parameter'!F10)/'Eye parameter'!F10)/'Eye parameter'!F8/'Eye parameter'!F8</f>
        <v>-0.18277398690990126</v>
      </c>
      <c r="D9" s="12">
        <f>(('Eye parameter'!F8+1)/('Eye parameter'!F8-1)+('Eye parameter'!F8+'Eye parameter'!F10)/'Eye parameter'!F10/('Eye parameter'!F8-'Eye parameter'!F10))/'Eye parameter'!F8</f>
        <v>41.473584251586068</v>
      </c>
      <c r="E9" s="12">
        <f>-((2*'Eye parameter'!F8+1)+(2*'Eye parameter'!F8+'Eye parameter'!F10)/'Eye parameter'!F10/'Eye parameter'!F10)/'Eye parameter'!F8</f>
        <v>-4.3912278492729069</v>
      </c>
      <c r="F9" s="33">
        <f>(1/('Eye parameter'!F8-1)-1/'Eye parameter'!F10/'Eye parameter'!F10/('Eye parameter'!F8-'Eye parameter'!F10))*'Eye parameter'!F8</f>
        <v>-15.61325711425927</v>
      </c>
    </row>
    <row r="10" spans="1:10">
      <c r="A10" s="3"/>
      <c r="D10" s="3"/>
      <c r="E10" s="3"/>
      <c r="F10" s="3"/>
    </row>
    <row r="11" spans="1:10">
      <c r="A11" s="7"/>
      <c r="B11" s="7"/>
      <c r="C11" s="7"/>
      <c r="D11" s="7"/>
      <c r="E11" s="3"/>
      <c r="F11" s="3"/>
    </row>
    <row r="12" spans="1:10" ht="22" thickBot="1">
      <c r="A12" s="17" t="s">
        <v>92</v>
      </c>
      <c r="B12" s="15"/>
      <c r="C12" s="14"/>
      <c r="D12" s="16"/>
      <c r="E12" s="3"/>
      <c r="F12" s="3"/>
    </row>
    <row r="13" spans="1:10" ht="34">
      <c r="A13" s="54" t="s">
        <v>17</v>
      </c>
      <c r="B13" s="55">
        <f>'Eye parameter'!B22</f>
        <v>4.2251148573823005E-2</v>
      </c>
      <c r="C13" s="56" t="s">
        <v>75</v>
      </c>
      <c r="D13" s="57">
        <v>1</v>
      </c>
      <c r="E13" s="3"/>
      <c r="F13" s="3"/>
    </row>
    <row r="14" spans="1:10" ht="17">
      <c r="A14" s="58" t="s">
        <v>16</v>
      </c>
      <c r="B14" s="59">
        <f>'Eye parameter'!B24</f>
        <v>1.2932488283904717</v>
      </c>
      <c r="C14" s="60"/>
      <c r="D14" s="61"/>
    </row>
    <row r="15" spans="1:10" ht="19">
      <c r="A15" s="58" t="s">
        <v>73</v>
      </c>
      <c r="B15" s="62">
        <f>B18*C18+D18</f>
        <v>8.2037606964741657E-3</v>
      </c>
      <c r="C15" s="56"/>
      <c r="D15" s="63"/>
    </row>
    <row r="16" spans="1:10" ht="20" thickBot="1">
      <c r="A16" s="64" t="s">
        <v>74</v>
      </c>
      <c r="B16" s="65">
        <f>B19*C19+D19</f>
        <v>3.2971646666713418E-3</v>
      </c>
      <c r="C16" s="66" t="s">
        <v>76</v>
      </c>
      <c r="D16" s="67">
        <f>B16+B15*'Eye parameter'!B19/'Eye parameter'!B20/B13*(1-1/(1-('Eye parameter'!C8+'Eye parameter'!C10)/'Eye parameter'!F10*B13))</f>
        <v>1.8869105275754279E-3</v>
      </c>
    </row>
    <row r="17" spans="1:4" ht="24" customHeight="1">
      <c r="A17" s="68"/>
      <c r="B17" s="69" t="s">
        <v>51</v>
      </c>
      <c r="C17" s="70" t="s">
        <v>29</v>
      </c>
      <c r="D17" s="71" t="s">
        <v>28</v>
      </c>
    </row>
    <row r="18" spans="1:4" ht="19">
      <c r="A18" s="72" t="s">
        <v>62</v>
      </c>
      <c r="B18" s="73">
        <f>1/8*'Eye parameter'!B20^4*'Corneal Aberrations'!B13^3</f>
        <v>2.4163266507392397E-4</v>
      </c>
      <c r="C18" s="74">
        <f>A4*B14^3+B4*D13^3+C4*B14^2*D13+D4*B14*D13^2+E4*B14^2+F4*D13^2+G4*B14*D13+H4*B14+I4*D13+J4</f>
        <v>39.543608786345999</v>
      </c>
      <c r="D18" s="75">
        <f>('Eye parameter'!F8-1)*'Eye parameter'!B20^4/'Eye parameter'!B8^3*'Eye parameter'!D8+('Eye parameter'!F10-'Eye parameter'!F8)*'Eye parameter'!B20^4/'Eye parameter'!B10^3*'Eye parameter'!D10</f>
        <v>-1.3512668812112535E-3</v>
      </c>
    </row>
    <row r="19" spans="1:4" ht="20" thickBot="1">
      <c r="A19" s="76" t="s">
        <v>63</v>
      </c>
      <c r="B19" s="77">
        <f>1/4*'Eye parameter'!B20^2*'Corneal Aberrations'!B13^2*'Eye parameter'!B26</f>
        <v>4.8798296231393213E-4</v>
      </c>
      <c r="C19" s="78">
        <f>A9*B14^2+B9*D13^2+C9*B14*D13+D9*B14+E9*D13+F9</f>
        <v>6.6821780479004929</v>
      </c>
      <c r="D19" s="79">
        <f>('Eye parameter'!F10-'Eye parameter'!F8)*'Eye parameter'!B20^3/'Eye parameter'!B10^3*'Eye parameter'!D10*'Eye parameter'!C8*'Eye parameter'!B19/'Eye parameter'!F8</f>
        <v>3.6375628147731146E-5</v>
      </c>
    </row>
    <row r="25" spans="1:4">
      <c r="D25" s="7"/>
    </row>
  </sheetData>
  <sheetProtection algorithmName="SHA-512" hashValue="djcHfaS3E6TQRbhRr9NAGlC+oIqGq+mg3YfzdMdwAUod9MicKQotj2f9IxsbsW1GqGDT0SKX1r0kBJAu6TEd9g==" saltValue="AH7UW5eQjsQ52rvtxEzTHw==" spinCount="100000" sheet="1" objects="1" scenarios="1" selectLockedCells="1" selectUnlockedCell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A1E46-3816-9C44-9F1C-778957D2E626}">
  <sheetPr codeName="Sheet3"/>
  <dimension ref="A1:J48"/>
  <sheetViews>
    <sheetView showGridLines="0" topLeftCell="A4" zoomScaleNormal="100" workbookViewId="0">
      <selection activeCell="E18" sqref="E18"/>
    </sheetView>
  </sheetViews>
  <sheetFormatPr baseColWidth="10" defaultRowHeight="16"/>
  <cols>
    <col min="1" max="1" width="15.1640625" customWidth="1"/>
    <col min="2" max="2" width="15" customWidth="1"/>
    <col min="3" max="3" width="14.83203125" customWidth="1"/>
    <col min="4" max="4" width="12.83203125" customWidth="1"/>
    <col min="5" max="5" width="13.6640625" customWidth="1"/>
    <col min="6" max="6" width="11" bestFit="1" customWidth="1"/>
    <col min="7" max="7" width="11.33203125" bestFit="1" customWidth="1"/>
    <col min="8" max="8" width="14.33203125" customWidth="1"/>
    <col min="9" max="9" width="11" bestFit="1" customWidth="1"/>
    <col min="10" max="10" width="11.33203125" bestFit="1" customWidth="1"/>
  </cols>
  <sheetData>
    <row r="1" spans="1:10" ht="21" thickBot="1">
      <c r="A1" s="4" t="s">
        <v>30</v>
      </c>
    </row>
    <row r="2" spans="1:10" ht="18">
      <c r="A2" s="37" t="s">
        <v>83</v>
      </c>
      <c r="B2" s="38" t="s">
        <v>84</v>
      </c>
      <c r="C2" s="38" t="s">
        <v>85</v>
      </c>
      <c r="D2" s="39" t="s">
        <v>86</v>
      </c>
    </row>
    <row r="3" spans="1:10" ht="17" thickBot="1">
      <c r="A3" s="40">
        <f>1/4*'Eye parameter'!D24^4*(0.001*'Eye parameter'!D20)^3*('Eye parameter'!F12+2*'Eye parameter'!F10)/('Eye parameter'!F12*('Eye parameter'!F12-'Eye parameter'!F10)^2)</f>
        <v>6.0008632096810351E-3</v>
      </c>
      <c r="B3" s="41">
        <f>-1/4*'Eye parameter'!D24^4*(0.001*'Eye parameter'!D20)^3*4*('Eye parameter'!F12+'Eye parameter'!F10)/('Eye parameter'!F12*('Eye parameter'!F12-'Eye parameter'!F10)*'Eye parameter'!F10)*'Eye parameter'!D19</f>
        <v>-8.2978201816501299E-3</v>
      </c>
      <c r="C3" s="42">
        <f>1/4*'Eye parameter'!D24^4*(0.001*'Eye parameter'!D20)^3*((3*'Eye parameter'!F12+2*'Eye parameter'!F10)/'Eye parameter'!F12/'Eye parameter'!F10^2*'Eye parameter'!D19^2+'Eye parameter'!F14^2/'Eye parameter'!F10^2/('Eye parameter'!F12-'Eye parameter'!F10)^2)</f>
        <v>5.2051671163484648E-3</v>
      </c>
      <c r="D3" s="43">
        <f>8*('Eye parameter'!F12-'Eye parameter'!F10)*'Eye parameter'!D22^4-8*('Eye parameter'!F10-'Eye parameter'!F14)*'Eye parameter'!D23^4</f>
        <v>24.394575603638994</v>
      </c>
    </row>
    <row r="6" spans="1:10" ht="21" thickBot="1">
      <c r="A6" s="4" t="s">
        <v>31</v>
      </c>
      <c r="D6" s="1"/>
      <c r="F6" s="1"/>
    </row>
    <row r="7" spans="1:10">
      <c r="A7" s="37" t="s">
        <v>32</v>
      </c>
      <c r="B7" s="38" t="s">
        <v>33</v>
      </c>
      <c r="C7" s="38" t="s">
        <v>34</v>
      </c>
      <c r="D7" s="44" t="s">
        <v>35</v>
      </c>
    </row>
    <row r="8" spans="1:10" ht="17" thickBot="1">
      <c r="A8" s="40">
        <f>B11+G11+A14*A3</f>
        <v>2.9000309100237983E-4</v>
      </c>
      <c r="B8" s="41">
        <f>C11+I11+A14*B3</f>
        <v>1.7292697007939577E-3</v>
      </c>
      <c r="C8" s="41">
        <f>D11+J11+A14*C3</f>
        <v>-1.3907236173354715E-3</v>
      </c>
      <c r="D8" s="45">
        <f>8*('Eye parameter'!F10-'Eye parameter'!F12)*'Eye parameter'!D23^4*'IOL Aberration'!A14</f>
        <v>-0.4344899338638688</v>
      </c>
    </row>
    <row r="9" spans="1:10" ht="17" thickBot="1"/>
    <row r="10" spans="1:10">
      <c r="A10" s="37" t="s">
        <v>36</v>
      </c>
      <c r="B10" s="38" t="s">
        <v>37</v>
      </c>
      <c r="C10" s="38" t="s">
        <v>38</v>
      </c>
      <c r="D10" s="38" t="s">
        <v>39</v>
      </c>
      <c r="E10" s="38" t="s">
        <v>40</v>
      </c>
      <c r="F10" s="38" t="s">
        <v>41</v>
      </c>
      <c r="G10" s="38" t="s">
        <v>42</v>
      </c>
      <c r="H10" s="44" t="s">
        <v>43</v>
      </c>
      <c r="I10" s="38" t="s">
        <v>44</v>
      </c>
      <c r="J10" s="39" t="s">
        <v>45</v>
      </c>
    </row>
    <row r="11" spans="1:10" ht="17" thickBot="1">
      <c r="A11" s="41">
        <f>1/2*'Eye parameter'!F10*'Eye parameter'!D22*'Eye parameter'!B26*(0.001*'Eye parameter'!D20)^2</f>
        <v>1.3398314904380999E-4</v>
      </c>
      <c r="B11" s="41">
        <f>A11*'Eye parameter'!D22/(2*'Eye parameter'!F12^2*('Eye parameter'!F12-'Eye parameter'!F10))</f>
        <v>4.8629361811281625E-4</v>
      </c>
      <c r="C11" s="41">
        <f>A11*'Eye parameter'!B20*'Eye parameter'!B22/(('Eye parameter'!F12-'Eye parameter'!F10)*(0.001*'Eye parameter'!D20))*(1/'Eye parameter'!F12^2-1/'Eye parameter'!F10^2)+B11*(1+'Eye parameter'!F12/'Eye parameter'!F10+'Eye parameter'!D19*(1-'Eye parameter'!F12/'Eye parameter'!F10))</f>
        <v>3.4381953774306675E-4</v>
      </c>
      <c r="D11" s="45">
        <f>A11*('Eye parameter'!F12/'Eye parameter'!F10/('Eye parameter'!F12-'Eye parameter'!F10)-'Eye parameter'!D19/'Eye parameter'!F10)*('Eye parameter'!D22/2/'Eye parameter'!F12^2+'Eye parameter'!B20*'Eye parameter'!B22/(0.001*'Eye parameter'!D20)*(1/'Eye parameter'!F12^2-1/'Eye parameter'!F10^2))</f>
        <v>3.5396808272788412E-5</v>
      </c>
      <c r="E11" s="46">
        <f>1/2*'Eye parameter'!F10*'Eye parameter'!D23*'Eye parameter'!B26*(0.001*'Eye parameter'!D20)</f>
        <v>5.7856359814372482E-3</v>
      </c>
      <c r="F11" s="41">
        <f>'Eye parameter'!F12/'Eye parameter'!F10^2-1/'Eye parameter'!F12</f>
        <v>0.13304332193622748</v>
      </c>
      <c r="G11" s="41">
        <f>E11*(0.001*'Eye parameter'!D20)/('Eye parameter'!F12-'Eye parameter'!F10)*('IOL Aberration'!F11*'Eye parameter'!D22/2/'Eye parameter'!F12-'Eye parameter'!D23/2/'Eye parameter'!F10^2)</f>
        <v>-4.3439317583646191E-4</v>
      </c>
      <c r="H11" s="45">
        <f>'Eye parameter'!D23*(0.001*'Eye parameter'!D20)/2/'Eye parameter'!F10^2+'IOL Aberration'!F11*('Eye parameter'!D22*(0.001*'Eye parameter'!D20)/2/'Eye parameter'!F12+'Eye parameter'!B20*'Eye parameter'!B22/'Eye parameter'!F12)</f>
        <v>2.1819468904008286E-2</v>
      </c>
      <c r="I11" s="41">
        <f>E11*H11/('Eye parameter'!F12-'Eye parameter'!F10)-'IOL Aberration'!G11*('Eye parameter'!F12-'Eye parameter'!F10)/'Eye parameter'!F10*('Eye parameter'!D19+'Eye parameter'!F12/('Eye parameter'!F12-'Eye parameter'!F10))</f>
        <v>1.714691622965486E-3</v>
      </c>
      <c r="J11" s="43">
        <f>-E11*H11/'Eye parameter'!F10*('Eye parameter'!D19+'Eye parameter'!F12/('Eye parameter'!F12-'Eye parameter'!F10))</f>
        <v>-1.6326513919306957E-3</v>
      </c>
    </row>
    <row r="12" spans="1:10" ht="17" thickBot="1">
      <c r="A12" s="47"/>
      <c r="B12" s="47"/>
      <c r="C12" s="47"/>
      <c r="D12" s="47"/>
      <c r="E12" s="47"/>
      <c r="F12" s="47"/>
      <c r="G12" s="47"/>
      <c r="H12" s="47"/>
      <c r="I12" s="47"/>
      <c r="J12" s="47"/>
    </row>
    <row r="13" spans="1:10">
      <c r="A13" s="48" t="s">
        <v>87</v>
      </c>
      <c r="B13" s="47"/>
      <c r="C13" s="47"/>
      <c r="D13" s="47"/>
      <c r="E13" s="47"/>
      <c r="F13" s="47"/>
      <c r="G13" s="47"/>
      <c r="H13" s="47"/>
      <c r="I13" s="47"/>
      <c r="J13" s="47"/>
    </row>
    <row r="14" spans="1:10" ht="17" thickBot="1">
      <c r="A14" s="43">
        <f>'Eye parameter'!C12*'Eye parameter'!B19/'Eye parameter'!F12/'Eye parameter'!D23</f>
        <v>3.967806637250134E-2</v>
      </c>
      <c r="B14" s="47"/>
      <c r="C14" s="47"/>
      <c r="D14" s="47"/>
      <c r="E14" s="47"/>
      <c r="F14" s="47"/>
      <c r="G14" s="47"/>
      <c r="H14" s="47"/>
      <c r="I14" s="47"/>
      <c r="J14" s="47"/>
    </row>
    <row r="16" spans="1:10" ht="17" thickBot="1"/>
    <row r="17" spans="1:2" ht="24">
      <c r="A17" s="18" t="s">
        <v>91</v>
      </c>
      <c r="B17" s="13"/>
    </row>
    <row r="18" spans="1:2" ht="51">
      <c r="A18" s="49" t="s">
        <v>90</v>
      </c>
      <c r="B18" s="50">
        <f>Solution!B4</f>
        <v>-6.2681697326708431E-4</v>
      </c>
    </row>
    <row r="19" spans="1:2" ht="19">
      <c r="A19" s="49" t="s">
        <v>79</v>
      </c>
      <c r="B19" s="51">
        <f>Solution!B3</f>
        <v>-0.1983540551195957</v>
      </c>
    </row>
    <row r="20" spans="1:2" ht="19">
      <c r="A20" s="49" t="s">
        <v>88</v>
      </c>
      <c r="B20" s="51">
        <f>A3*B19^2+B3*B19+C3+D3*B18</f>
        <v>-8.2037606964741674E-3</v>
      </c>
    </row>
    <row r="21" spans="1:2" ht="20" thickBot="1">
      <c r="A21" s="52" t="s">
        <v>89</v>
      </c>
      <c r="B21" s="53">
        <f>A8*B19^2+B8*B19+C8-D8*B18</f>
        <v>-1.994666962486655E-3</v>
      </c>
    </row>
    <row r="46" spans="1:9">
      <c r="A46" s="6"/>
      <c r="B46" s="6"/>
      <c r="C46" s="6"/>
      <c r="D46" s="6"/>
      <c r="E46" s="6"/>
      <c r="F46" s="6"/>
      <c r="G46" s="6"/>
      <c r="H46" s="6"/>
      <c r="I46" s="6"/>
    </row>
    <row r="47" spans="1:9">
      <c r="A47" s="6"/>
      <c r="B47" s="6"/>
      <c r="C47" s="6"/>
      <c r="D47" s="6"/>
      <c r="E47" s="6"/>
      <c r="F47" s="6"/>
      <c r="G47" s="6"/>
      <c r="H47" s="6"/>
      <c r="I47" s="6"/>
    </row>
    <row r="48" spans="1:9">
      <c r="A48" s="6"/>
      <c r="B48" s="6"/>
      <c r="C48" s="6"/>
      <c r="D48" s="6"/>
      <c r="E48" s="6"/>
      <c r="F48" s="6"/>
      <c r="G48" s="6"/>
      <c r="H48" s="6"/>
      <c r="I48" s="6"/>
    </row>
  </sheetData>
  <sheetProtection algorithmName="SHA-512" hashValue="FNG+cWzcL3lCO17zRx8zEf+I80KbaBwvtphi41JHkB1K5U9+d8OfLkjOCY2/nB9J+jw5+k2nBv0kFMPYYzfXew==" saltValue="RqwI2cxgo4FYw5gUqseLLg==" spinCount="100000" sheet="1" objects="1" scenarios="1" selectLockedCells="1" selectUnlockedCell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DCA8A-A68B-2F47-8E7D-1777A86B111C}">
  <sheetPr codeName="Sheet4"/>
  <dimension ref="A1:D6"/>
  <sheetViews>
    <sheetView showGridLines="0" zoomScaleNormal="100" workbookViewId="0">
      <selection activeCell="B16" sqref="B16"/>
    </sheetView>
  </sheetViews>
  <sheetFormatPr baseColWidth="10" defaultRowHeight="16"/>
  <cols>
    <col min="1" max="1" width="29" customWidth="1"/>
    <col min="2" max="2" width="21.5" customWidth="1"/>
  </cols>
  <sheetData>
    <row r="1" spans="1:4" ht="20">
      <c r="A1" s="4" t="s">
        <v>46</v>
      </c>
    </row>
    <row r="3" spans="1:4" ht="20">
      <c r="A3" s="34" t="s">
        <v>93</v>
      </c>
      <c r="B3" s="35">
        <f>(-('IOL Aberration'!B8-2*'IOL Aberration'!A8*'Eye parameter'!D26)+SQRT(('IOL Aberration'!B8-2*'IOL Aberration'!A8*'Eye parameter'!D26)^2-4*'IOL Aberration'!A8*('IOL Aberration'!C8+'Corneal Aberrations'!D16-'IOL Aberration'!B8*'Eye parameter'!D26)))/2/'IOL Aberration'!A8</f>
        <v>-0.1983540551195957</v>
      </c>
      <c r="D3" s="5"/>
    </row>
    <row r="4" spans="1:4" ht="40">
      <c r="A4" s="34" t="s">
        <v>94</v>
      </c>
      <c r="B4" s="36">
        <f>-('IOL Aberration'!A3*Solution!B3^2+'IOL Aberration'!B3*Solution!B3+'IOL Aberration'!C3+'Corneal Aberrations'!B15)/'IOL Aberration'!D3</f>
        <v>-6.2681697326708431E-4</v>
      </c>
    </row>
    <row r="5" spans="1:4" ht="20">
      <c r="A5" s="34" t="s">
        <v>49</v>
      </c>
      <c r="B5" s="35">
        <f>2*('Eye parameter'!F12-'Eye parameter'!F10)/(0.001*'Eye parameter'!D20)/(Solution!B3+1)</f>
        <v>14.061977540981655</v>
      </c>
    </row>
    <row r="6" spans="1:4" ht="20">
      <c r="A6" s="34" t="s">
        <v>50</v>
      </c>
      <c r="B6" s="35">
        <f>2*('Eye parameter'!F12-'Eye parameter'!F10)/(0.001*'Eye parameter'!D20)/(Solution!B3-1)</f>
        <v>-9.4068420134834394</v>
      </c>
    </row>
  </sheetData>
  <sheetProtection algorithmName="SHA-512" hashValue="7Y5OSzoRrf3120jKJCVYwzO/ZEumSM6hDT6PWsKbIGnC3C6AddK4+q+mm7tA25DTuum6BaobLFJ0dbO8V7ByHw==" saltValue="iQezrxXbpf2iWWjjG6E/fQ==" spinCount="100000" sheet="1" objects="1" scenarios="1" selectLockedCells="1" selectUnlockedCells="1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Eye parameter</vt:lpstr>
      <vt:lpstr>Corneal Aberrations</vt:lpstr>
      <vt:lpstr>IOL Aberration</vt:lpstr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Lionel Canioni</cp:lastModifiedBy>
  <dcterms:created xsi:type="dcterms:W3CDTF">2019-03-15T19:05:48Z</dcterms:created>
  <dcterms:modified xsi:type="dcterms:W3CDTF">2019-12-19T09:52:23Z</dcterms:modified>
</cp:coreProperties>
</file>